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8760" windowHeight="4170" tabRatio="888" firstSheet="12" activeTab="18"/>
  </bookViews>
  <sheets>
    <sheet name="Mountain View 1" sheetId="1" r:id="rId1"/>
    <sheet name="Mountain View 2" sheetId="2" r:id="rId2"/>
    <sheet name="Mountain View 3" sheetId="3" r:id="rId3"/>
    <sheet name="Indian Bay" sheetId="4" r:id="rId4"/>
    <sheet name="Rabbit Gulch" sheetId="5" r:id="rId5"/>
    <sheet name="Juniper Point" sheetId="6" r:id="rId6"/>
    <sheet name="Knight Hollow" sheetId="7" r:id="rId7"/>
    <sheet name="Strawberry River Above" sheetId="8" r:id="rId8"/>
    <sheet name="Strawberry River Below" sheetId="9" r:id="rId9"/>
    <sheet name="Special Events" sheetId="10" r:id="rId10"/>
    <sheet name="Marketing" sheetId="11" r:id="rId11"/>
    <sheet name="Administration" sheetId="12" r:id="rId12"/>
    <sheet name="Grand Total 1" sheetId="13" r:id="rId13"/>
    <sheet name="Grand Total 2" sheetId="14" r:id="rId14"/>
    <sheet name="Grand Total 3" sheetId="15" r:id="rId15"/>
    <sheet name="Super Summary" sheetId="16" r:id="rId16"/>
    <sheet name="Summary" sheetId="17" r:id="rId17"/>
    <sheet name="Comparison 1" sheetId="18" r:id="rId18"/>
    <sheet name="Annual Funds" sheetId="19" r:id="rId19"/>
    <sheet name="Annual Expenses" sheetId="20" r:id="rId20"/>
  </sheets>
  <definedNames/>
  <calcPr fullCalcOnLoad="1"/>
</workbook>
</file>

<file path=xl/sharedStrings.xml><?xml version="1.0" encoding="utf-8"?>
<sst xmlns="http://schemas.openxmlformats.org/spreadsheetml/2006/main" count="1207" uniqueCount="193">
  <si>
    <t>ECONOMIC LIFE</t>
  </si>
  <si>
    <t>ITEM DESCRIPTION</t>
  </si>
  <si>
    <t>UNIT</t>
  </si>
  <si>
    <t>UNIT PRICE</t>
  </si>
  <si>
    <t>I.</t>
  </si>
  <si>
    <t>LS</t>
  </si>
  <si>
    <t>EA</t>
  </si>
  <si>
    <t>SUBTOTAL</t>
  </si>
  <si>
    <t>TOTAL INITIAL/ COLLATERAL COST</t>
  </si>
  <si>
    <t>II.</t>
  </si>
  <si>
    <t>III.</t>
  </si>
  <si>
    <t>Mobilization</t>
  </si>
  <si>
    <t>Unlisted Items</t>
  </si>
  <si>
    <t>CONTRACT COST</t>
  </si>
  <si>
    <t>Contingencies</t>
  </si>
  <si>
    <t>FIELD COST</t>
  </si>
  <si>
    <t>LIFE CYCLE COST ANALYSIS FOR ALTERNATIVE 1</t>
  </si>
  <si>
    <t>Roads (paved)</t>
  </si>
  <si>
    <t>Parking</t>
  </si>
  <si>
    <t>Water</t>
  </si>
  <si>
    <t>Dry Boat Storage</t>
  </si>
  <si>
    <t>Docks/Gangways</t>
  </si>
  <si>
    <t>Campgrounds (Urban)</t>
  </si>
  <si>
    <t>LF</t>
  </si>
  <si>
    <t>Restrooms/Showers (4 Unit)</t>
  </si>
  <si>
    <t>Restrooms/Showers (6 Unit)</t>
  </si>
  <si>
    <t>Launch Ramp</t>
  </si>
  <si>
    <t>Park Cabins</t>
  </si>
  <si>
    <t>LIFE CYCLE COST ANALYSIS FOR ALTERNATIVE 2</t>
  </si>
  <si>
    <t>LIFE CYCLE COST ANALYSIS FOR ALTERNATIVE 3</t>
  </si>
  <si>
    <t>Design</t>
  </si>
  <si>
    <t>Construction Oversight</t>
  </si>
  <si>
    <t>BOAT STORAGE</t>
  </si>
  <si>
    <t>PARK CABINS</t>
  </si>
  <si>
    <t>BEACH AREA</t>
  </si>
  <si>
    <t>CAMPGROUND</t>
  </si>
  <si>
    <t>Beach area</t>
  </si>
  <si>
    <t>DAY USE AREA</t>
  </si>
  <si>
    <t>LIFE CYCLE COST ANALYSIS</t>
  </si>
  <si>
    <t>Boat ramp jetty</t>
  </si>
  <si>
    <t>Enclosed Pavilion</t>
  </si>
  <si>
    <t>CL. PAVILION</t>
  </si>
  <si>
    <t>TOTAL</t>
  </si>
  <si>
    <t>Estimated Seasonal Hours</t>
  </si>
  <si>
    <t>Hourly Rate</t>
  </si>
  <si>
    <t>Total Seasonal Wages</t>
  </si>
  <si>
    <t>Benefits</t>
  </si>
  <si>
    <t xml:space="preserve">   Total Incremental Labor</t>
  </si>
  <si>
    <t>Operating Supplies/Maintenance</t>
  </si>
  <si>
    <t>Utilities</t>
  </si>
  <si>
    <t>Other Costs</t>
  </si>
  <si>
    <t>Total Incremental Costs</t>
  </si>
  <si>
    <t>Total Incremental Revenue</t>
  </si>
  <si>
    <t>Net Cash Flow</t>
  </si>
  <si>
    <t>Initial Investment</t>
  </si>
  <si>
    <t>Pay Back (years)</t>
  </si>
  <si>
    <t>BREAKDOWN BY FACILITY</t>
  </si>
  <si>
    <t>OPERATING COSTS</t>
  </si>
  <si>
    <t>REVENUE</t>
  </si>
  <si>
    <t>CAPITAL EXPENDITURES</t>
  </si>
  <si>
    <t>BREAK-EVEN ANALYSIS</t>
  </si>
  <si>
    <t>Overhead</t>
  </si>
  <si>
    <t>Number of Facilities</t>
  </si>
  <si>
    <t>Operating days per year</t>
  </si>
  <si>
    <t>Days used per year</t>
  </si>
  <si>
    <t>Fee per use</t>
  </si>
  <si>
    <t>Number of Fees per facility per day</t>
  </si>
  <si>
    <t>BOAT RAMP/PARKING</t>
  </si>
  <si>
    <t>INVESTMENT ANALYSIS</t>
  </si>
  <si>
    <t>IV.</t>
  </si>
  <si>
    <t>V.</t>
  </si>
  <si>
    <t>Break-Even Fee</t>
  </si>
  <si>
    <t>Break-Even Daily Usage</t>
  </si>
  <si>
    <t>Break-Even Days used per year per facility</t>
  </si>
  <si>
    <t>Break-Even Revenue</t>
  </si>
  <si>
    <t>CU FT</t>
  </si>
  <si>
    <t>SQ FT</t>
  </si>
  <si>
    <t>CU YD</t>
  </si>
  <si>
    <t>INTEREST RATE</t>
  </si>
  <si>
    <t>Net Present Value (NPV)</t>
  </si>
  <si>
    <t>Return on Investment (ROI)</t>
  </si>
  <si>
    <t>Internal Rate of Return (IRR)</t>
  </si>
  <si>
    <t>Roads (Gravel)</t>
  </si>
  <si>
    <t>Parking (Gravel)</t>
  </si>
  <si>
    <t>Vault Restroom 2 Unit</t>
  </si>
  <si>
    <t>Vault Restroom 1 Unit</t>
  </si>
  <si>
    <t>Campgrounds (Rural)</t>
  </si>
  <si>
    <t>Day Use (Picnic Rural)</t>
  </si>
  <si>
    <t>Day Use Area (Rural)</t>
  </si>
  <si>
    <t>Group Area</t>
  </si>
  <si>
    <t>GROUP USE AREA</t>
  </si>
  <si>
    <t>Speaker System</t>
  </si>
  <si>
    <t>Stage</t>
  </si>
  <si>
    <t>Canopy</t>
  </si>
  <si>
    <t>Bleachers</t>
  </si>
  <si>
    <t>Directional Signage (Temporary)</t>
  </si>
  <si>
    <t>Staging Area Setup</t>
  </si>
  <si>
    <t>Per day</t>
  </si>
  <si>
    <t>Portable Toilet</t>
  </si>
  <si>
    <t>Barrier</t>
  </si>
  <si>
    <t>Table</t>
  </si>
  <si>
    <t>Chair</t>
  </si>
  <si>
    <t>HALF TRIATHALON</t>
  </si>
  <si>
    <t>FISHING DERBY</t>
  </si>
  <si>
    <t>Number of Event Days</t>
  </si>
  <si>
    <t>Estimated Staff Hours</t>
  </si>
  <si>
    <t>Radio Advertising</t>
  </si>
  <si>
    <t>Television Advertising</t>
  </si>
  <si>
    <t>Theater Advertising</t>
  </si>
  <si>
    <t>Newspaper Advertising</t>
  </si>
  <si>
    <t>Brochures</t>
  </si>
  <si>
    <t>Radio Ad. Preparation</t>
  </si>
  <si>
    <t>Television Ad. Preparation</t>
  </si>
  <si>
    <t>Theater Ad. Preparation</t>
  </si>
  <si>
    <t>Newspaper Ad. Preparation</t>
  </si>
  <si>
    <t>Brochure Preparation</t>
  </si>
  <si>
    <t>STARVATION STATE PARK</t>
  </si>
  <si>
    <t>Startup costs</t>
  </si>
  <si>
    <t>Administrative cost</t>
  </si>
  <si>
    <t>BASE COST</t>
  </si>
  <si>
    <t>Program Management</t>
  </si>
  <si>
    <t>Advertising Oversight</t>
  </si>
  <si>
    <t>Special Use Permit Fee</t>
  </si>
  <si>
    <t>INDIAN BAY</t>
  </si>
  <si>
    <t>MOUNTAIN VIEW 1</t>
  </si>
  <si>
    <t>RABBIT GULCH</t>
  </si>
  <si>
    <t>JUNIPER POINT</t>
  </si>
  <si>
    <t>KNIGHT HOLLOW</t>
  </si>
  <si>
    <t>STRAWBERRY RIVER ABOVE</t>
  </si>
  <si>
    <t>STRAWBERRY RIVER BELOW</t>
  </si>
  <si>
    <t>SPECIAL EVENTS</t>
  </si>
  <si>
    <t>MARKETING</t>
  </si>
  <si>
    <t>Break Even Revenue</t>
  </si>
  <si>
    <t>ii.</t>
  </si>
  <si>
    <t>iii.</t>
  </si>
  <si>
    <t>MOUNTAIN VIEW 2</t>
  </si>
  <si>
    <t>MOUNTAIN VIEW 3</t>
  </si>
  <si>
    <t>General Funds</t>
  </si>
  <si>
    <t>Restricted Fund</t>
  </si>
  <si>
    <t>Federal Funds</t>
  </si>
  <si>
    <t>Grants</t>
  </si>
  <si>
    <t>Other Funds</t>
  </si>
  <si>
    <t>Administrative Oversight</t>
  </si>
  <si>
    <t>ADMINISTRATION</t>
  </si>
  <si>
    <t xml:space="preserve"> </t>
  </si>
  <si>
    <t>LAW ENFORCEMENT</t>
  </si>
  <si>
    <t>RESOURCE MANAGEMENT</t>
  </si>
  <si>
    <t>INTERPRETATION</t>
  </si>
  <si>
    <t>Interpretive Planning</t>
  </si>
  <si>
    <t>Each</t>
  </si>
  <si>
    <t>Interpretive Sign 24"x36"</t>
  </si>
  <si>
    <t>Sign Installation</t>
  </si>
  <si>
    <t>Pay Back</t>
  </si>
  <si>
    <t xml:space="preserve"> (ROI)</t>
  </si>
  <si>
    <t>(IRR)</t>
  </si>
  <si>
    <t xml:space="preserve"> (NPV)</t>
  </si>
  <si>
    <t>Break Even $</t>
  </si>
  <si>
    <t>INVESTMENT SUMMARY</t>
  </si>
  <si>
    <t>STRAWBERRY R. ABOVE</t>
  </si>
  <si>
    <t>STRAWBERRY R, BELOW</t>
  </si>
  <si>
    <t>Marketing Costs</t>
  </si>
  <si>
    <t>Park Revenue (overhead from operating costs)</t>
  </si>
  <si>
    <t>FUNDING SOURCE</t>
  </si>
  <si>
    <t>STEWART LAKE STATE PARK (MOUNTAIN VIEW AREA)</t>
  </si>
  <si>
    <t>STEWART LAKE STATE PARK (INDIAN BAY AREA)</t>
  </si>
  <si>
    <t>STEWART LAKE STATE PARK (RABBIT GULCH AREA)</t>
  </si>
  <si>
    <t>STEWART LAKE STATE PARK (JUNIPER POINT AREA)</t>
  </si>
  <si>
    <t>STEWART LAKE STATE PARK (KNIGHT HOLLOW AREA)</t>
  </si>
  <si>
    <t>STEWART LAKE STATE PARK (STRAWBERRY RIVER ABOVE AREA)</t>
  </si>
  <si>
    <t>STEWART LAKE STATE PARK (STRAWBERRY RIVER BELOW AREA)</t>
  </si>
  <si>
    <t>STEWART LAKE STATE PARK (SPECIAL EVENTS)</t>
  </si>
  <si>
    <t>STEWART LAKE STATE PARK (MARKETING)</t>
  </si>
  <si>
    <t>STEWART LAKE STATE PARK (ADMINISTRATION)</t>
  </si>
  <si>
    <t>STEWART LAKE STATE PARK</t>
  </si>
  <si>
    <t>CURRENT PLAN</t>
  </si>
  <si>
    <t>PROPOSED PLAN</t>
  </si>
  <si>
    <t>NET DIFFERENCE</t>
  </si>
  <si>
    <t>Comparison of Current and Proposed Plan (Alt 1 and Alt 2)</t>
  </si>
  <si>
    <t>Revenue Type</t>
  </si>
  <si>
    <t>Current ($)</t>
  </si>
  <si>
    <t>Proposed ($)</t>
  </si>
  <si>
    <t>Net Effect ($)</t>
  </si>
  <si>
    <t>10% of Total Incremental  Revenue</t>
  </si>
  <si>
    <t>Other funding sources</t>
  </si>
  <si>
    <t>Restricted funds (Law Enforcement)</t>
  </si>
  <si>
    <t>TOTAL REVENUES</t>
  </si>
  <si>
    <t>Expense type</t>
  </si>
  <si>
    <t>Wages and benefits</t>
  </si>
  <si>
    <t>Operating supplies/maintenance</t>
  </si>
  <si>
    <t>Other Costs (Contractor/Professionial Services</t>
  </si>
  <si>
    <t>LIFE CYCLE COST ANALYSIS OF PREFERRED PLAN (ALTERNATIVE 2)</t>
  </si>
  <si>
    <t>Summary of Annual Expenses</t>
  </si>
  <si>
    <t>Summary of Annual Funding Sources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</si>
</sst>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&quot;$&quot;#,##0.0_);\(&quot;$&quot;#,##0.0\)"/>
    <numFmt numFmtId="172" formatCode="&quot;$&quot;#,##0.00"/>
    <numFmt numFmtId="173" formatCode="_(* #,##0.0_);_(* \(#,##0.0\);_(* &quot;-&quot;??_);_(@_)"/>
    <numFmt numFmtId="174" formatCode="_(* #,##0_);_(* \(#,##0\);_(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_);_(@_)"/>
    <numFmt numFmtId="183" formatCode="_(&quot;$&quot;* #,##0.000_);_(&quot;$&quot;* \(#,##0.000\);_(&quot;$&quot;* &quot;-&quot;???_);_(@_)"/>
    <numFmt numFmtId="184" formatCode="_(&quot;$&quot;* #,##0.0_);_(&quot;$&quot;* \(#,##0.0\);_(&quot;$&quot;* &quot;-&quot;?_);_(@_)"/>
    <numFmt numFmtId="185" formatCode="&quot;$&quot;#,##0.000_);\(&quot;$&quot;#,##0.000\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Border="1" applyAlignment="1">
      <alignment/>
    </xf>
    <xf numFmtId="5" fontId="4" fillId="0" borderId="0" xfId="0" applyNumberFormat="1" applyBorder="1" applyAlignment="1">
      <alignment/>
    </xf>
    <xf numFmtId="5" fontId="4" fillId="0" borderId="0" xfId="0" applyNumberFormat="1" applyFont="1" applyBorder="1" applyAlignment="1">
      <alignment horizontal="right"/>
    </xf>
    <xf numFmtId="1" fontId="4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ill="1" applyBorder="1" applyAlignment="1">
      <alignment/>
    </xf>
    <xf numFmtId="0" fontId="4" fillId="0" borderId="0" xfId="0" applyFill="1" applyBorder="1" applyAlignment="1">
      <alignment/>
    </xf>
    <xf numFmtId="9" fontId="4" fillId="0" borderId="0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7" fontId="4" fillId="0" borderId="0" xfId="0" applyNumberFormat="1" applyBorder="1" applyAlignment="1">
      <alignment/>
    </xf>
    <xf numFmtId="3" fontId="4" fillId="0" borderId="0" xfId="0" applyNumberFormat="1" applyFill="1" applyBorder="1" applyAlignment="1">
      <alignment/>
    </xf>
    <xf numFmtId="5" fontId="4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5" fontId="8" fillId="0" borderId="0" xfId="0" applyNumberFormat="1" applyFont="1" applyBorder="1" applyAlignment="1">
      <alignment wrapText="1"/>
    </xf>
    <xf numFmtId="5" fontId="8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/>
    </xf>
    <xf numFmtId="3" fontId="4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8" fillId="0" borderId="3" xfId="0" applyFont="1" applyBorder="1" applyAlignment="1">
      <alignment/>
    </xf>
    <xf numFmtId="5" fontId="8" fillId="0" borderId="3" xfId="0" applyNumberFormat="1" applyFont="1" applyBorder="1" applyAlignment="1">
      <alignment horizontal="left"/>
    </xf>
    <xf numFmtId="5" fontId="4" fillId="0" borderId="3" xfId="0" applyNumberFormat="1" applyBorder="1" applyAlignment="1">
      <alignment/>
    </xf>
    <xf numFmtId="0" fontId="4" fillId="0" borderId="3" xfId="0" applyBorder="1" applyAlignment="1">
      <alignment/>
    </xf>
    <xf numFmtId="0" fontId="4" fillId="0" borderId="3" xfId="0" applyFont="1" applyBorder="1" applyAlignment="1">
      <alignment/>
    </xf>
    <xf numFmtId="7" fontId="4" fillId="0" borderId="0" xfId="17" applyFont="1" applyAlignment="1">
      <alignment/>
    </xf>
    <xf numFmtId="10" fontId="4" fillId="0" borderId="0" xfId="25" applyFont="1" applyAlignment="1">
      <alignment/>
    </xf>
    <xf numFmtId="164" fontId="4" fillId="0" borderId="0" xfId="25" applyNumberFormat="1" applyFont="1" applyAlignment="1">
      <alignment/>
    </xf>
    <xf numFmtId="0" fontId="4" fillId="0" borderId="0" xfId="0" applyFont="1" applyBorder="1" applyAlignment="1">
      <alignment horizontal="left" indent="3"/>
    </xf>
    <xf numFmtId="42" fontId="4" fillId="0" borderId="0" xfId="0" applyNumberFormat="1" applyBorder="1" applyAlignment="1">
      <alignment/>
    </xf>
    <xf numFmtId="41" fontId="4" fillId="0" borderId="0" xfId="0" applyNumberFormat="1" applyBorder="1" applyAlignment="1">
      <alignment/>
    </xf>
    <xf numFmtId="42" fontId="4" fillId="0" borderId="0" xfId="17" applyNumberFormat="1" applyFont="1" applyBorder="1" applyAlignment="1">
      <alignment/>
    </xf>
    <xf numFmtId="41" fontId="4" fillId="0" borderId="2" xfId="17" applyNumberFormat="1" applyFont="1" applyBorder="1" applyAlignment="1">
      <alignment/>
    </xf>
    <xf numFmtId="174" fontId="4" fillId="0" borderId="0" xfId="0" applyNumberFormat="1" applyFont="1" applyAlignment="1">
      <alignment/>
    </xf>
    <xf numFmtId="174" fontId="4" fillId="0" borderId="0" xfId="17" applyNumberFormat="1" applyFont="1" applyAlignment="1">
      <alignment/>
    </xf>
    <xf numFmtId="174" fontId="4" fillId="0" borderId="2" xfId="17" applyNumberFormat="1" applyFont="1" applyBorder="1" applyAlignment="1">
      <alignment/>
    </xf>
    <xf numFmtId="42" fontId="4" fillId="0" borderId="0" xfId="0" applyNumberFormat="1" applyFont="1" applyAlignment="1">
      <alignment/>
    </xf>
    <xf numFmtId="7" fontId="4" fillId="0" borderId="2" xfId="17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5" fontId="4" fillId="0" borderId="0" xfId="0" applyNumberFormat="1" applyFont="1" applyBorder="1" applyAlignment="1">
      <alignment horizontal="center"/>
    </xf>
    <xf numFmtId="5" fontId="4" fillId="0" borderId="3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76" fontId="4" fillId="2" borderId="4" xfId="0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Border="1" applyAlignment="1">
      <alignment horizontal="right"/>
    </xf>
    <xf numFmtId="0" fontId="8" fillId="0" borderId="3" xfId="0" applyFont="1" applyBorder="1" applyAlignment="1">
      <alignment horizontal="right"/>
    </xf>
    <xf numFmtId="42" fontId="4" fillId="3" borderId="4" xfId="0" applyNumberFormat="1" applyFill="1" applyBorder="1" applyAlignment="1">
      <alignment/>
    </xf>
    <xf numFmtId="42" fontId="4" fillId="3" borderId="4" xfId="0" applyNumberFormat="1" applyFont="1" applyFill="1" applyBorder="1" applyAlignment="1">
      <alignment/>
    </xf>
    <xf numFmtId="42" fontId="4" fillId="4" borderId="5" xfId="0" applyNumberFormat="1" applyFill="1" applyBorder="1" applyAlignment="1">
      <alignment/>
    </xf>
    <xf numFmtId="42" fontId="4" fillId="5" borderId="5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5" fontId="4" fillId="0" borderId="0" xfId="0" applyNumberFormat="1" applyFont="1" applyBorder="1" applyAlignment="1">
      <alignment horizontal="left" indent="2"/>
    </xf>
    <xf numFmtId="5" fontId="4" fillId="3" borderId="4" xfId="0" applyNumberFormat="1" applyFill="1" applyBorder="1" applyAlignment="1">
      <alignment/>
    </xf>
    <xf numFmtId="5" fontId="4" fillId="0" borderId="0" xfId="0" applyNumberFormat="1" applyFont="1" applyAlignment="1">
      <alignment/>
    </xf>
    <xf numFmtId="5" fontId="4" fillId="3" borderId="4" xfId="0" applyNumberFormat="1" applyFont="1" applyFill="1" applyBorder="1" applyAlignment="1">
      <alignment/>
    </xf>
    <xf numFmtId="5" fontId="4" fillId="5" borderId="5" xfId="0" applyNumberFormat="1" applyFont="1" applyFill="1" applyBorder="1" applyAlignment="1">
      <alignment/>
    </xf>
    <xf numFmtId="42" fontId="4" fillId="0" borderId="0" xfId="0" applyNumberFormat="1" applyFill="1" applyBorder="1" applyAlignment="1">
      <alignment/>
    </xf>
    <xf numFmtId="42" fontId="4" fillId="0" borderId="3" xfId="0" applyNumberFormat="1" applyFont="1" applyBorder="1" applyAlignment="1">
      <alignment horizontal="center"/>
    </xf>
    <xf numFmtId="42" fontId="4" fillId="0" borderId="0" xfId="0" applyNumberFormat="1" applyFont="1" applyBorder="1" applyAlignment="1">
      <alignment/>
    </xf>
    <xf numFmtId="5" fontId="0" fillId="0" borderId="6" xfId="0" applyNumberFormat="1" applyBorder="1" applyAlignment="1">
      <alignment/>
    </xf>
    <xf numFmtId="5" fontId="0" fillId="0" borderId="7" xfId="0" applyNumberFormat="1" applyBorder="1" applyAlignment="1">
      <alignment/>
    </xf>
    <xf numFmtId="5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5" fontId="0" fillId="0" borderId="10" xfId="0" applyNumberFormat="1" applyBorder="1" applyAlignment="1">
      <alignment/>
    </xf>
    <xf numFmtId="5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5" fontId="0" fillId="0" borderId="9" xfId="0" applyNumberFormat="1" applyBorder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0" fontId="4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9" xfId="0" applyBorder="1" applyAlignment="1">
      <alignment/>
    </xf>
    <xf numFmtId="5" fontId="8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indent="2"/>
    </xf>
    <xf numFmtId="0" fontId="4" fillId="0" borderId="9" xfId="0" applyFont="1" applyBorder="1" applyAlignment="1">
      <alignment horizontal="left" indent="2"/>
    </xf>
    <xf numFmtId="0" fontId="4" fillId="0" borderId="9" xfId="0" applyFont="1" applyBorder="1" applyAlignment="1">
      <alignment horizontal="left" indent="3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indent="2"/>
    </xf>
    <xf numFmtId="0" fontId="10" fillId="6" borderId="9" xfId="0" applyFont="1" applyFill="1" applyBorder="1" applyAlignment="1">
      <alignment/>
    </xf>
    <xf numFmtId="0" fontId="10" fillId="6" borderId="8" xfId="0" applyFont="1" applyFill="1" applyBorder="1" applyAlignment="1">
      <alignment/>
    </xf>
    <xf numFmtId="0" fontId="10" fillId="6" borderId="2" xfId="0" applyFont="1" applyFill="1" applyBorder="1" applyAlignment="1">
      <alignment/>
    </xf>
    <xf numFmtId="5" fontId="10" fillId="0" borderId="0" xfId="0" applyNumberFormat="1" applyFont="1" applyAlignment="1">
      <alignment/>
    </xf>
    <xf numFmtId="5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42" fontId="11" fillId="0" borderId="0" xfId="0" applyNumberFormat="1" applyFont="1" applyAlignment="1">
      <alignment/>
    </xf>
    <xf numFmtId="0" fontId="4" fillId="0" borderId="9" xfId="0" applyFont="1" applyBorder="1" applyAlignment="1">
      <alignment/>
    </xf>
    <xf numFmtId="0" fontId="0" fillId="0" borderId="0" xfId="0" applyBorder="1" applyAlignment="1">
      <alignment/>
    </xf>
    <xf numFmtId="0" fontId="10" fillId="6" borderId="7" xfId="0" applyFont="1" applyFill="1" applyBorder="1" applyAlignment="1">
      <alignment/>
    </xf>
    <xf numFmtId="0" fontId="10" fillId="6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5" fontId="8" fillId="0" borderId="13" xfId="0" applyNumberFormat="1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70"/>
  <sheetViews>
    <sheetView workbookViewId="0" topLeftCell="A51">
      <selection activeCell="E78" sqref="E78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14.8515625" style="0" customWidth="1"/>
    <col min="4" max="4" width="5.421875" style="0" customWidth="1"/>
    <col min="5" max="5" width="16.8515625" style="0" bestFit="1" customWidth="1"/>
    <col min="6" max="6" width="12.8515625" style="0" bestFit="1" customWidth="1"/>
    <col min="7" max="7" width="11.57421875" style="0" bestFit="1" customWidth="1"/>
    <col min="8" max="8" width="11.28125" style="0" bestFit="1" customWidth="1"/>
    <col min="9" max="9" width="12.00390625" style="0" bestFit="1" customWidth="1"/>
  </cols>
  <sheetData>
    <row r="1" spans="1:9" ht="15.75">
      <c r="A1" s="108" t="s">
        <v>163</v>
      </c>
      <c r="B1" s="108"/>
      <c r="C1" s="108"/>
      <c r="D1" s="108"/>
      <c r="E1" s="108"/>
      <c r="F1" s="108"/>
      <c r="G1" s="108"/>
      <c r="H1" s="108"/>
      <c r="I1" s="108"/>
    </row>
    <row r="2" spans="1:9" ht="15">
      <c r="A2" s="109" t="s">
        <v>16</v>
      </c>
      <c r="B2" s="109"/>
      <c r="C2" s="109"/>
      <c r="D2" s="109"/>
      <c r="E2" s="109"/>
      <c r="F2" s="109"/>
      <c r="G2" s="109"/>
      <c r="H2" s="109"/>
      <c r="I2" s="109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7" t="s">
        <v>78</v>
      </c>
      <c r="D4" s="3">
        <v>0.028</v>
      </c>
      <c r="E4" s="1"/>
    </row>
    <row r="5" spans="1:9" ht="13.5" thickBot="1">
      <c r="A5" s="26" t="s">
        <v>4</v>
      </c>
      <c r="B5" s="26" t="s">
        <v>59</v>
      </c>
      <c r="C5" s="56" t="s">
        <v>0</v>
      </c>
      <c r="D5" s="29">
        <v>30</v>
      </c>
      <c r="E5" s="107" t="s">
        <v>56</v>
      </c>
      <c r="F5" s="107"/>
      <c r="G5" s="107"/>
      <c r="H5" s="107"/>
      <c r="I5" s="107"/>
    </row>
    <row r="6" spans="1:9" ht="12.75">
      <c r="A6" s="1"/>
      <c r="B6" s="2" t="s">
        <v>1</v>
      </c>
      <c r="C6" s="2" t="s">
        <v>3</v>
      </c>
      <c r="D6" s="2" t="s">
        <v>2</v>
      </c>
      <c r="E6" s="23" t="s">
        <v>67</v>
      </c>
      <c r="F6" s="45" t="s">
        <v>32</v>
      </c>
      <c r="G6" s="45" t="s">
        <v>35</v>
      </c>
      <c r="H6" s="45" t="s">
        <v>34</v>
      </c>
      <c r="I6" s="46" t="s">
        <v>42</v>
      </c>
    </row>
    <row r="7" spans="1:9" ht="12.75">
      <c r="A7" s="1">
        <v>1</v>
      </c>
      <c r="B7" s="7" t="s">
        <v>17</v>
      </c>
      <c r="C7" s="13">
        <v>1.64</v>
      </c>
      <c r="D7" s="7" t="s">
        <v>76</v>
      </c>
      <c r="E7" s="21">
        <v>24000</v>
      </c>
      <c r="F7" s="22"/>
      <c r="G7" s="22"/>
      <c r="H7" s="22"/>
      <c r="I7" s="35">
        <f aca="true" t="shared" si="0" ref="I7:I20">SUM(E7:H7)*C7</f>
        <v>39360</v>
      </c>
    </row>
    <row r="8" spans="1:9" ht="12.75">
      <c r="A8" s="1">
        <v>2</v>
      </c>
      <c r="B8" s="7" t="s">
        <v>18</v>
      </c>
      <c r="C8" s="13">
        <v>1.64</v>
      </c>
      <c r="D8" s="7" t="s">
        <v>76</v>
      </c>
      <c r="E8" s="21">
        <v>16500</v>
      </c>
      <c r="F8" s="22"/>
      <c r="G8" s="22"/>
      <c r="H8" s="22"/>
      <c r="I8" s="36">
        <f t="shared" si="0"/>
        <v>27060</v>
      </c>
    </row>
    <row r="9" spans="1:9" ht="12.75">
      <c r="A9" s="1">
        <v>3</v>
      </c>
      <c r="B9" s="7" t="s">
        <v>19</v>
      </c>
      <c r="C9" s="13">
        <v>14.5</v>
      </c>
      <c r="D9" s="7" t="s">
        <v>23</v>
      </c>
      <c r="E9" s="21"/>
      <c r="F9" s="22"/>
      <c r="G9" s="22">
        <v>7000</v>
      </c>
      <c r="H9" s="22"/>
      <c r="I9" s="36">
        <f t="shared" si="0"/>
        <v>101500</v>
      </c>
    </row>
    <row r="10" spans="1:9" ht="12.75">
      <c r="A10" s="9">
        <v>4</v>
      </c>
      <c r="B10" s="7" t="s">
        <v>20</v>
      </c>
      <c r="C10" s="13">
        <v>11400</v>
      </c>
      <c r="D10" s="7" t="s">
        <v>5</v>
      </c>
      <c r="E10" s="21"/>
      <c r="F10" s="22">
        <v>1</v>
      </c>
      <c r="G10" s="22"/>
      <c r="H10" s="22"/>
      <c r="I10" s="36">
        <f t="shared" si="0"/>
        <v>11400</v>
      </c>
    </row>
    <row r="11" spans="1:9" ht="12.75">
      <c r="A11" s="1">
        <v>5</v>
      </c>
      <c r="B11" s="7" t="s">
        <v>21</v>
      </c>
      <c r="C11" s="13">
        <v>8000</v>
      </c>
      <c r="D11" s="7" t="s">
        <v>6</v>
      </c>
      <c r="E11" s="21">
        <v>5</v>
      </c>
      <c r="F11" s="22"/>
      <c r="G11" s="22"/>
      <c r="H11" s="22"/>
      <c r="I11" s="36">
        <f t="shared" si="0"/>
        <v>40000</v>
      </c>
    </row>
    <row r="12" spans="1:9" ht="12.75">
      <c r="A12" s="9">
        <v>6</v>
      </c>
      <c r="B12" s="7" t="s">
        <v>24</v>
      </c>
      <c r="C12" s="13">
        <v>180000</v>
      </c>
      <c r="D12" s="7" t="s">
        <v>6</v>
      </c>
      <c r="E12" s="21">
        <v>1</v>
      </c>
      <c r="F12" s="22"/>
      <c r="G12" s="22">
        <v>3</v>
      </c>
      <c r="H12" s="22">
        <v>1</v>
      </c>
      <c r="I12" s="36">
        <f t="shared" si="0"/>
        <v>900000</v>
      </c>
    </row>
    <row r="13" spans="1:9" ht="12.75">
      <c r="A13" s="10">
        <v>7</v>
      </c>
      <c r="B13" s="7" t="s">
        <v>25</v>
      </c>
      <c r="C13" s="13">
        <v>220000</v>
      </c>
      <c r="D13" s="7" t="s">
        <v>6</v>
      </c>
      <c r="E13" s="21"/>
      <c r="F13" s="22"/>
      <c r="G13" s="22"/>
      <c r="H13" s="22"/>
      <c r="I13" s="36">
        <f t="shared" si="0"/>
        <v>0</v>
      </c>
    </row>
    <row r="14" spans="1:9" ht="12.75">
      <c r="A14" s="1">
        <v>8</v>
      </c>
      <c r="B14" s="7" t="s">
        <v>22</v>
      </c>
      <c r="C14" s="13">
        <v>18000</v>
      </c>
      <c r="D14" s="7" t="s">
        <v>6</v>
      </c>
      <c r="E14" s="62"/>
      <c r="F14" s="22"/>
      <c r="G14" s="22">
        <v>26</v>
      </c>
      <c r="H14" s="22"/>
      <c r="I14" s="36">
        <f t="shared" si="0"/>
        <v>468000</v>
      </c>
    </row>
    <row r="15" spans="1:9" ht="12.75">
      <c r="A15" s="1">
        <v>9</v>
      </c>
      <c r="B15" s="7" t="s">
        <v>40</v>
      </c>
      <c r="C15" s="13">
        <v>42000</v>
      </c>
      <c r="D15" s="7" t="s">
        <v>6</v>
      </c>
      <c r="E15" s="21"/>
      <c r="F15" s="22"/>
      <c r="G15" s="22"/>
      <c r="H15" s="22"/>
      <c r="I15" s="36">
        <f t="shared" si="0"/>
        <v>0</v>
      </c>
    </row>
    <row r="16" spans="1:9" ht="12.75">
      <c r="A16" s="1">
        <v>10</v>
      </c>
      <c r="B16" s="7" t="s">
        <v>27</v>
      </c>
      <c r="C16" s="13">
        <v>50000</v>
      </c>
      <c r="D16" s="7" t="s">
        <v>6</v>
      </c>
      <c r="E16" s="21"/>
      <c r="F16" s="22"/>
      <c r="G16" s="22"/>
      <c r="H16" s="22"/>
      <c r="I16" s="36">
        <f t="shared" si="0"/>
        <v>0</v>
      </c>
    </row>
    <row r="17" spans="1:9" ht="12.75">
      <c r="A17" s="9">
        <v>11</v>
      </c>
      <c r="B17" s="7" t="s">
        <v>26</v>
      </c>
      <c r="C17" s="13">
        <v>230000</v>
      </c>
      <c r="D17" s="7" t="s">
        <v>5</v>
      </c>
      <c r="E17" s="21">
        <v>1</v>
      </c>
      <c r="F17" s="22"/>
      <c r="G17" s="22"/>
      <c r="H17" s="22"/>
      <c r="I17" s="36">
        <f t="shared" si="0"/>
        <v>230000</v>
      </c>
    </row>
    <row r="18" spans="1:232" ht="12.75">
      <c r="A18" s="10">
        <v>12</v>
      </c>
      <c r="B18" s="7" t="s">
        <v>36</v>
      </c>
      <c r="C18" s="13">
        <v>2.04</v>
      </c>
      <c r="D18" s="7" t="s">
        <v>75</v>
      </c>
      <c r="E18" s="21"/>
      <c r="F18" s="22"/>
      <c r="G18" s="22"/>
      <c r="H18" s="22">
        <v>85000</v>
      </c>
      <c r="I18" s="36">
        <f t="shared" si="0"/>
        <v>173400</v>
      </c>
      <c r="J18" s="4"/>
      <c r="K18" s="6"/>
      <c r="L18" s="4"/>
      <c r="M18" s="10"/>
      <c r="N18" s="7"/>
      <c r="O18" s="7"/>
      <c r="P18" s="14"/>
      <c r="Q18" s="13"/>
      <c r="R18" s="4"/>
      <c r="S18" s="6"/>
      <c r="T18" s="4"/>
      <c r="U18" s="10"/>
      <c r="V18" s="7"/>
      <c r="W18" s="7"/>
      <c r="X18" s="14"/>
      <c r="Y18" s="13"/>
      <c r="Z18" s="4"/>
      <c r="AA18" s="6"/>
      <c r="AB18" s="4"/>
      <c r="AC18" s="10"/>
      <c r="AD18" s="7"/>
      <c r="AE18" s="7"/>
      <c r="AF18" s="14"/>
      <c r="AG18" s="13"/>
      <c r="AH18" s="4"/>
      <c r="AI18" s="6"/>
      <c r="AJ18" s="4"/>
      <c r="AK18" s="10"/>
      <c r="AL18" s="7"/>
      <c r="AM18" s="7"/>
      <c r="AN18" s="14"/>
      <c r="AO18" s="13"/>
      <c r="AP18" s="4"/>
      <c r="AQ18" s="6"/>
      <c r="AR18" s="4"/>
      <c r="AS18" s="10"/>
      <c r="AT18" s="7"/>
      <c r="AU18" s="7"/>
      <c r="AV18" s="14"/>
      <c r="AW18" s="13"/>
      <c r="AX18" s="4"/>
      <c r="AY18" s="6"/>
      <c r="AZ18" s="4"/>
      <c r="BA18" s="10"/>
      <c r="BB18" s="7"/>
      <c r="BC18" s="7"/>
      <c r="BD18" s="14"/>
      <c r="BE18" s="13"/>
      <c r="BF18" s="4"/>
      <c r="BG18" s="6"/>
      <c r="BH18" s="4"/>
      <c r="BI18" s="10"/>
      <c r="BJ18" s="7"/>
      <c r="BK18" s="7"/>
      <c r="BL18" s="14"/>
      <c r="BM18" s="13"/>
      <c r="BN18" s="4"/>
      <c r="BO18" s="6"/>
      <c r="BP18" s="4"/>
      <c r="BQ18" s="10"/>
      <c r="BR18" s="7"/>
      <c r="BS18" s="7"/>
      <c r="BT18" s="14"/>
      <c r="BU18" s="13"/>
      <c r="BV18" s="4"/>
      <c r="BW18" s="6"/>
      <c r="BX18" s="4"/>
      <c r="BY18" s="10"/>
      <c r="BZ18" s="7"/>
      <c r="CA18" s="7"/>
      <c r="CB18" s="14"/>
      <c r="CC18" s="13"/>
      <c r="CD18" s="4"/>
      <c r="CE18" s="6"/>
      <c r="CF18" s="4"/>
      <c r="CG18" s="10"/>
      <c r="CH18" s="7"/>
      <c r="CI18" s="7"/>
      <c r="CJ18" s="14"/>
      <c r="CK18" s="13"/>
      <c r="CL18" s="4"/>
      <c r="CM18" s="6"/>
      <c r="CN18" s="4"/>
      <c r="CO18" s="10"/>
      <c r="CP18" s="7"/>
      <c r="CQ18" s="7"/>
      <c r="CR18" s="14"/>
      <c r="CS18" s="13"/>
      <c r="CT18" s="4"/>
      <c r="CU18" s="6"/>
      <c r="CV18" s="4"/>
      <c r="CW18" s="10"/>
      <c r="CX18" s="7"/>
      <c r="CY18" s="7"/>
      <c r="CZ18" s="14"/>
      <c r="DA18" s="13"/>
      <c r="DB18" s="4"/>
      <c r="DC18" s="6"/>
      <c r="DD18" s="4"/>
      <c r="DE18" s="10"/>
      <c r="DF18" s="7"/>
      <c r="DG18" s="7"/>
      <c r="DH18" s="14"/>
      <c r="DI18" s="13"/>
      <c r="DJ18" s="4"/>
      <c r="DK18" s="6"/>
      <c r="DL18" s="4"/>
      <c r="DM18" s="10"/>
      <c r="DN18" s="7"/>
      <c r="DO18" s="7"/>
      <c r="DP18" s="14"/>
      <c r="DQ18" s="13"/>
      <c r="DR18" s="4"/>
      <c r="DS18" s="6"/>
      <c r="DT18" s="4"/>
      <c r="DU18" s="10"/>
      <c r="DV18" s="7"/>
      <c r="DW18" s="7"/>
      <c r="DX18" s="14"/>
      <c r="DY18" s="13"/>
      <c r="DZ18" s="4"/>
      <c r="EA18" s="6"/>
      <c r="EB18" s="4"/>
      <c r="EC18" s="10"/>
      <c r="ED18" s="7"/>
      <c r="EE18" s="7"/>
      <c r="EF18" s="14"/>
      <c r="EG18" s="13"/>
      <c r="EH18" s="4"/>
      <c r="EI18" s="6"/>
      <c r="EJ18" s="4"/>
      <c r="EK18" s="10"/>
      <c r="EL18" s="7"/>
      <c r="EM18" s="7"/>
      <c r="EN18" s="14"/>
      <c r="EO18" s="13"/>
      <c r="EP18" s="4"/>
      <c r="EQ18" s="6"/>
      <c r="ER18" s="4"/>
      <c r="ES18" s="10"/>
      <c r="ET18" s="7"/>
      <c r="EU18" s="7"/>
      <c r="EV18" s="14"/>
      <c r="EW18" s="13"/>
      <c r="EX18" s="4"/>
      <c r="EY18" s="6"/>
      <c r="EZ18" s="4"/>
      <c r="FA18" s="10"/>
      <c r="FB18" s="7"/>
      <c r="FC18" s="7"/>
      <c r="FD18" s="14"/>
      <c r="FE18" s="13"/>
      <c r="FF18" s="4"/>
      <c r="FG18" s="6"/>
      <c r="FH18" s="4"/>
      <c r="FI18" s="10"/>
      <c r="FJ18" s="7"/>
      <c r="FK18" s="7"/>
      <c r="FL18" s="14"/>
      <c r="FM18" s="13"/>
      <c r="FN18" s="4"/>
      <c r="FO18" s="6"/>
      <c r="FP18" s="4"/>
      <c r="FQ18" s="10"/>
      <c r="FR18" s="7"/>
      <c r="FS18" s="7"/>
      <c r="FT18" s="14"/>
      <c r="FU18" s="13"/>
      <c r="FV18" s="4"/>
      <c r="FW18" s="6"/>
      <c r="FX18" s="4"/>
      <c r="FY18" s="10"/>
      <c r="FZ18" s="7"/>
      <c r="GA18" s="7"/>
      <c r="GB18" s="14"/>
      <c r="GC18" s="13"/>
      <c r="GD18" s="4"/>
      <c r="GE18" s="6"/>
      <c r="GF18" s="4"/>
      <c r="GG18" s="10"/>
      <c r="GH18" s="7"/>
      <c r="GI18" s="7"/>
      <c r="GJ18" s="14"/>
      <c r="GK18" s="13"/>
      <c r="GL18" s="4"/>
      <c r="GM18" s="6"/>
      <c r="GN18" s="4"/>
      <c r="GO18" s="10"/>
      <c r="GP18" s="7"/>
      <c r="GQ18" s="7"/>
      <c r="GR18" s="14"/>
      <c r="GS18" s="13"/>
      <c r="GT18" s="4"/>
      <c r="GU18" s="6"/>
      <c r="GV18" s="4"/>
      <c r="GW18" s="10"/>
      <c r="GX18" s="7"/>
      <c r="GY18" s="7"/>
      <c r="GZ18" s="14"/>
      <c r="HA18" s="13"/>
      <c r="HB18" s="4"/>
      <c r="HC18" s="6"/>
      <c r="HD18" s="4"/>
      <c r="HE18" s="10"/>
      <c r="HF18" s="7"/>
      <c r="HG18" s="7"/>
      <c r="HH18" s="14"/>
      <c r="HI18" s="13"/>
      <c r="HJ18" s="4"/>
      <c r="HK18" s="6"/>
      <c r="HL18" s="4"/>
      <c r="HM18" s="10"/>
      <c r="HN18" s="7"/>
      <c r="HO18" s="7"/>
      <c r="HP18" s="14"/>
      <c r="HQ18" s="13"/>
      <c r="HR18" s="4"/>
      <c r="HS18" s="6"/>
      <c r="HT18" s="4"/>
      <c r="HU18" s="10"/>
      <c r="HV18" s="7"/>
      <c r="HW18" s="7"/>
      <c r="HX18" s="14"/>
    </row>
    <row r="19" spans="1:232" ht="12.75">
      <c r="A19" s="10">
        <v>13</v>
      </c>
      <c r="B19" s="7" t="s">
        <v>39</v>
      </c>
      <c r="C19" s="13">
        <v>25</v>
      </c>
      <c r="D19" s="7" t="s">
        <v>77</v>
      </c>
      <c r="E19" s="21">
        <v>5500</v>
      </c>
      <c r="F19" s="22"/>
      <c r="G19" s="22"/>
      <c r="H19" s="22"/>
      <c r="I19" s="36">
        <f t="shared" si="0"/>
        <v>137500</v>
      </c>
      <c r="J19" s="4"/>
      <c r="K19" s="6"/>
      <c r="L19" s="4"/>
      <c r="M19" s="10"/>
      <c r="N19" s="7"/>
      <c r="O19" s="7"/>
      <c r="P19" s="14"/>
      <c r="Q19" s="13"/>
      <c r="R19" s="4"/>
      <c r="S19" s="6"/>
      <c r="T19" s="4"/>
      <c r="U19" s="10"/>
      <c r="V19" s="7"/>
      <c r="W19" s="7"/>
      <c r="X19" s="14"/>
      <c r="Y19" s="13"/>
      <c r="Z19" s="4"/>
      <c r="AA19" s="6"/>
      <c r="AB19" s="4"/>
      <c r="AC19" s="10"/>
      <c r="AD19" s="7"/>
      <c r="AE19" s="7"/>
      <c r="AF19" s="14"/>
      <c r="AG19" s="13"/>
      <c r="AH19" s="4"/>
      <c r="AI19" s="6"/>
      <c r="AJ19" s="4"/>
      <c r="AK19" s="10"/>
      <c r="AL19" s="7"/>
      <c r="AM19" s="7"/>
      <c r="AN19" s="14"/>
      <c r="AO19" s="13"/>
      <c r="AP19" s="4"/>
      <c r="AQ19" s="6"/>
      <c r="AR19" s="4"/>
      <c r="AS19" s="10"/>
      <c r="AT19" s="7"/>
      <c r="AU19" s="7"/>
      <c r="AV19" s="14"/>
      <c r="AW19" s="13"/>
      <c r="AX19" s="4"/>
      <c r="AY19" s="6"/>
      <c r="AZ19" s="4"/>
      <c r="BA19" s="10"/>
      <c r="BB19" s="7"/>
      <c r="BC19" s="7"/>
      <c r="BD19" s="14"/>
      <c r="BE19" s="13"/>
      <c r="BF19" s="4"/>
      <c r="BG19" s="6"/>
      <c r="BH19" s="4"/>
      <c r="BI19" s="10"/>
      <c r="BJ19" s="7"/>
      <c r="BK19" s="7"/>
      <c r="BL19" s="14"/>
      <c r="BM19" s="13"/>
      <c r="BN19" s="4"/>
      <c r="BO19" s="6"/>
      <c r="BP19" s="4"/>
      <c r="BQ19" s="10"/>
      <c r="BR19" s="7"/>
      <c r="BS19" s="7"/>
      <c r="BT19" s="14"/>
      <c r="BU19" s="13"/>
      <c r="BV19" s="4"/>
      <c r="BW19" s="6"/>
      <c r="BX19" s="4"/>
      <c r="BY19" s="10"/>
      <c r="BZ19" s="7"/>
      <c r="CA19" s="7"/>
      <c r="CB19" s="14"/>
      <c r="CC19" s="13"/>
      <c r="CD19" s="4"/>
      <c r="CE19" s="6"/>
      <c r="CF19" s="4"/>
      <c r="CG19" s="10"/>
      <c r="CH19" s="7"/>
      <c r="CI19" s="7"/>
      <c r="CJ19" s="14"/>
      <c r="CK19" s="13"/>
      <c r="CL19" s="4"/>
      <c r="CM19" s="6"/>
      <c r="CN19" s="4"/>
      <c r="CO19" s="10"/>
      <c r="CP19" s="7"/>
      <c r="CQ19" s="7"/>
      <c r="CR19" s="14"/>
      <c r="CS19" s="13"/>
      <c r="CT19" s="4"/>
      <c r="CU19" s="6"/>
      <c r="CV19" s="4"/>
      <c r="CW19" s="10"/>
      <c r="CX19" s="7"/>
      <c r="CY19" s="7"/>
      <c r="CZ19" s="14"/>
      <c r="DA19" s="13"/>
      <c r="DB19" s="4"/>
      <c r="DC19" s="6"/>
      <c r="DD19" s="4"/>
      <c r="DE19" s="10"/>
      <c r="DF19" s="7"/>
      <c r="DG19" s="7"/>
      <c r="DH19" s="14"/>
      <c r="DI19" s="13"/>
      <c r="DJ19" s="4"/>
      <c r="DK19" s="6"/>
      <c r="DL19" s="4"/>
      <c r="DM19" s="10"/>
      <c r="DN19" s="7"/>
      <c r="DO19" s="7"/>
      <c r="DP19" s="14"/>
      <c r="DQ19" s="13"/>
      <c r="DR19" s="4"/>
      <c r="DS19" s="6"/>
      <c r="DT19" s="4"/>
      <c r="DU19" s="10"/>
      <c r="DV19" s="7"/>
      <c r="DW19" s="7"/>
      <c r="DX19" s="14"/>
      <c r="DY19" s="13"/>
      <c r="DZ19" s="4"/>
      <c r="EA19" s="6"/>
      <c r="EB19" s="4"/>
      <c r="EC19" s="10"/>
      <c r="ED19" s="7"/>
      <c r="EE19" s="7"/>
      <c r="EF19" s="14"/>
      <c r="EG19" s="13"/>
      <c r="EH19" s="4"/>
      <c r="EI19" s="6"/>
      <c r="EJ19" s="4"/>
      <c r="EK19" s="10"/>
      <c r="EL19" s="7"/>
      <c r="EM19" s="7"/>
      <c r="EN19" s="14"/>
      <c r="EO19" s="13"/>
      <c r="EP19" s="4"/>
      <c r="EQ19" s="6"/>
      <c r="ER19" s="4"/>
      <c r="ES19" s="10"/>
      <c r="ET19" s="7"/>
      <c r="EU19" s="7"/>
      <c r="EV19" s="14"/>
      <c r="EW19" s="13"/>
      <c r="EX19" s="4"/>
      <c r="EY19" s="6"/>
      <c r="EZ19" s="4"/>
      <c r="FA19" s="10"/>
      <c r="FB19" s="7"/>
      <c r="FC19" s="7"/>
      <c r="FD19" s="14"/>
      <c r="FE19" s="13"/>
      <c r="FF19" s="4"/>
      <c r="FG19" s="6"/>
      <c r="FH19" s="4"/>
      <c r="FI19" s="10"/>
      <c r="FJ19" s="7"/>
      <c r="FK19" s="7"/>
      <c r="FL19" s="14"/>
      <c r="FM19" s="13"/>
      <c r="FN19" s="4"/>
      <c r="FO19" s="6"/>
      <c r="FP19" s="4"/>
      <c r="FQ19" s="10"/>
      <c r="FR19" s="7"/>
      <c r="FS19" s="7"/>
      <c r="FT19" s="14"/>
      <c r="FU19" s="13"/>
      <c r="FV19" s="4"/>
      <c r="FW19" s="6"/>
      <c r="FX19" s="4"/>
      <c r="FY19" s="10"/>
      <c r="FZ19" s="7"/>
      <c r="GA19" s="7"/>
      <c r="GB19" s="14"/>
      <c r="GC19" s="13"/>
      <c r="GD19" s="4"/>
      <c r="GE19" s="6"/>
      <c r="GF19" s="4"/>
      <c r="GG19" s="10"/>
      <c r="GH19" s="7"/>
      <c r="GI19" s="7"/>
      <c r="GJ19" s="14"/>
      <c r="GK19" s="13"/>
      <c r="GL19" s="4"/>
      <c r="GM19" s="6"/>
      <c r="GN19" s="4"/>
      <c r="GO19" s="10"/>
      <c r="GP19" s="7"/>
      <c r="GQ19" s="7"/>
      <c r="GR19" s="14"/>
      <c r="GS19" s="13"/>
      <c r="GT19" s="4"/>
      <c r="GU19" s="6"/>
      <c r="GV19" s="4"/>
      <c r="GW19" s="10"/>
      <c r="GX19" s="7"/>
      <c r="GY19" s="7"/>
      <c r="GZ19" s="14"/>
      <c r="HA19" s="13"/>
      <c r="HB19" s="4"/>
      <c r="HC19" s="6"/>
      <c r="HD19" s="4"/>
      <c r="HE19" s="10"/>
      <c r="HF19" s="7"/>
      <c r="HG19" s="7"/>
      <c r="HH19" s="14"/>
      <c r="HI19" s="13"/>
      <c r="HJ19" s="4"/>
      <c r="HK19" s="6"/>
      <c r="HL19" s="4"/>
      <c r="HM19" s="10"/>
      <c r="HN19" s="7"/>
      <c r="HO19" s="7"/>
      <c r="HP19" s="14"/>
      <c r="HQ19" s="13"/>
      <c r="HR19" s="4"/>
      <c r="HS19" s="6"/>
      <c r="HT19" s="4"/>
      <c r="HU19" s="10"/>
      <c r="HV19" s="7"/>
      <c r="HW19" s="7"/>
      <c r="HX19" s="14"/>
    </row>
    <row r="20" spans="1:9" ht="12.75">
      <c r="A20" s="9"/>
      <c r="B20" s="7"/>
      <c r="C20" s="4"/>
      <c r="D20" s="7"/>
      <c r="E20" s="1"/>
      <c r="F20" s="8"/>
      <c r="G20" s="8"/>
      <c r="H20" s="8"/>
      <c r="I20" s="36">
        <f t="shared" si="0"/>
        <v>0</v>
      </c>
    </row>
    <row r="21" spans="1:9" ht="12.75">
      <c r="A21" s="9"/>
      <c r="B21" s="7"/>
      <c r="C21" s="19" t="s">
        <v>7</v>
      </c>
      <c r="D21" s="7"/>
      <c r="E21" s="59">
        <f>SUMPRODUCT($C$7:$C$19,E7:E19)</f>
        <v>653920</v>
      </c>
      <c r="F21" s="59">
        <f>SUMPRODUCT($C$7:$C$19,F7:F19)</f>
        <v>11400</v>
      </c>
      <c r="G21" s="59">
        <f>SUMPRODUCT($C$7:$C$19,G7:G19)</f>
        <v>1109500</v>
      </c>
      <c r="H21" s="59">
        <f>SUMPRODUCT($C$7:$C$19,H7:H19)</f>
        <v>353400</v>
      </c>
      <c r="I21" s="59">
        <f aca="true" t="shared" si="1" ref="I21:I28">SUM(E21:H21)</f>
        <v>2128220</v>
      </c>
    </row>
    <row r="22" spans="1:9" ht="12.75">
      <c r="A22" s="9"/>
      <c r="C22" s="54" t="s">
        <v>11</v>
      </c>
      <c r="D22" s="11">
        <v>0.05</v>
      </c>
      <c r="E22" s="36">
        <f>$D$22*E21</f>
        <v>32696</v>
      </c>
      <c r="F22" s="36">
        <f>$D$22*F21</f>
        <v>570</v>
      </c>
      <c r="G22" s="36">
        <f>$D$22*G21</f>
        <v>55475</v>
      </c>
      <c r="H22" s="36">
        <f>$D$22*H21</f>
        <v>17670</v>
      </c>
      <c r="I22" s="36">
        <f t="shared" si="1"/>
        <v>106411</v>
      </c>
    </row>
    <row r="23" spans="1:9" ht="12.75">
      <c r="A23" s="9"/>
      <c r="C23" s="54" t="s">
        <v>12</v>
      </c>
      <c r="D23" s="11">
        <v>0.1</v>
      </c>
      <c r="E23" s="36">
        <f>E21*$D$23</f>
        <v>65392</v>
      </c>
      <c r="F23" s="36">
        <f>F21*$D$23</f>
        <v>1140</v>
      </c>
      <c r="G23" s="36">
        <f>G21*$D$23</f>
        <v>110950</v>
      </c>
      <c r="H23" s="36">
        <f>H21*$D$23</f>
        <v>35340</v>
      </c>
      <c r="I23" s="36">
        <f t="shared" si="1"/>
        <v>212822</v>
      </c>
    </row>
    <row r="24" spans="1:9" ht="12.75">
      <c r="A24" s="9"/>
      <c r="B24" s="54"/>
      <c r="C24" s="18" t="s">
        <v>13</v>
      </c>
      <c r="D24" s="11"/>
      <c r="E24" s="59">
        <f>SUM(E21:E23)</f>
        <v>752008</v>
      </c>
      <c r="F24" s="59">
        <f>SUM(F21:F23)</f>
        <v>13110</v>
      </c>
      <c r="G24" s="59">
        <f>SUM(G21:G23)</f>
        <v>1275925</v>
      </c>
      <c r="H24" s="59">
        <f>SUM(H21:H23)</f>
        <v>406410</v>
      </c>
      <c r="I24" s="59">
        <f t="shared" si="1"/>
        <v>2447453</v>
      </c>
    </row>
    <row r="25" spans="1:9" ht="12.75">
      <c r="A25" s="9"/>
      <c r="C25" s="54" t="s">
        <v>14</v>
      </c>
      <c r="D25" s="11">
        <v>0.2</v>
      </c>
      <c r="E25" s="36">
        <f>$D$25*E$24</f>
        <v>150401.6</v>
      </c>
      <c r="F25" s="36">
        <f>$D$25*F$24</f>
        <v>2622</v>
      </c>
      <c r="G25" s="36">
        <f>$D$25*G$24</f>
        <v>255185</v>
      </c>
      <c r="H25" s="36">
        <f>$D$25*H$24</f>
        <v>81282</v>
      </c>
      <c r="I25" s="36">
        <f t="shared" si="1"/>
        <v>489490.6</v>
      </c>
    </row>
    <row r="26" spans="1:9" ht="12.75">
      <c r="A26" s="1"/>
      <c r="B26" s="55"/>
      <c r="C26" s="19" t="s">
        <v>15</v>
      </c>
      <c r="D26" s="1"/>
      <c r="E26" s="59">
        <f>ROUND(SUM(E24:E25),-2)</f>
        <v>902400</v>
      </c>
      <c r="F26" s="59">
        <f>ROUND(SUM(F24:F25),-2)</f>
        <v>15700</v>
      </c>
      <c r="G26" s="59">
        <f>ROUND(SUM(G24:G25),-2)</f>
        <v>1531100</v>
      </c>
      <c r="H26" s="59">
        <f>ROUND(SUM(H24:H25),-2)</f>
        <v>487700</v>
      </c>
      <c r="I26" s="59">
        <f t="shared" si="1"/>
        <v>2936900</v>
      </c>
    </row>
    <row r="27" spans="1:9" ht="12.75">
      <c r="A27" s="1"/>
      <c r="C27" s="54" t="s">
        <v>30</v>
      </c>
      <c r="D27" s="11">
        <v>0.06</v>
      </c>
      <c r="E27" s="36">
        <f>$D$27*E$26</f>
        <v>54144</v>
      </c>
      <c r="F27" s="36">
        <f>$D$27*F$26</f>
        <v>942</v>
      </c>
      <c r="G27" s="36">
        <f>$D$27*G$26</f>
        <v>91866</v>
      </c>
      <c r="H27" s="36">
        <f>$D$27*H$26</f>
        <v>29262</v>
      </c>
      <c r="I27" s="36">
        <f t="shared" si="1"/>
        <v>176214</v>
      </c>
    </row>
    <row r="28" spans="1:9" ht="12.75">
      <c r="A28" s="1"/>
      <c r="C28" s="54" t="s">
        <v>31</v>
      </c>
      <c r="D28" s="11">
        <v>0.06</v>
      </c>
      <c r="E28" s="36">
        <f>$D$28*E$26</f>
        <v>54144</v>
      </c>
      <c r="F28" s="36">
        <f>$D$28*F$26</f>
        <v>942</v>
      </c>
      <c r="G28" s="36">
        <f>$D$28*G$26</f>
        <v>91866</v>
      </c>
      <c r="H28" s="36">
        <f>$D$28*H$26</f>
        <v>29262</v>
      </c>
      <c r="I28" s="36">
        <f t="shared" si="1"/>
        <v>176214</v>
      </c>
    </row>
    <row r="29" spans="1:9" ht="12.75">
      <c r="A29" s="1"/>
      <c r="B29" s="1"/>
      <c r="C29" s="5"/>
      <c r="D29" s="1"/>
      <c r="E29" s="1"/>
      <c r="F29" s="1"/>
      <c r="G29" s="1"/>
      <c r="H29" s="1"/>
      <c r="I29" s="4"/>
    </row>
    <row r="30" spans="1:9" ht="13.5" thickBot="1">
      <c r="A30" s="1"/>
      <c r="B30" s="1"/>
      <c r="C30" s="19" t="s">
        <v>8</v>
      </c>
      <c r="D30" s="1"/>
      <c r="E30" s="57">
        <f>ROUND(SUM(E26:E29),-3)</f>
        <v>1011000</v>
      </c>
      <c r="F30" s="57">
        <f>ROUND(SUM(F26:F29),-3)</f>
        <v>18000</v>
      </c>
      <c r="G30" s="57">
        <f>ROUND(SUM(G26:G29),-3)</f>
        <v>1715000</v>
      </c>
      <c r="H30" s="57">
        <f>ROUND(SUM(H26:H29),-3)</f>
        <v>546000</v>
      </c>
      <c r="I30" s="57">
        <f>SUM(E30:H30)</f>
        <v>3290000</v>
      </c>
    </row>
    <row r="31" spans="1:9" ht="13.5" thickTop="1">
      <c r="A31" s="1"/>
      <c r="B31" s="1"/>
      <c r="C31" s="19"/>
      <c r="D31" s="1"/>
      <c r="E31" s="15"/>
      <c r="F31" s="15"/>
      <c r="G31" s="15"/>
      <c r="H31" s="15"/>
      <c r="I31" s="15"/>
    </row>
    <row r="32" spans="1:9" ht="12.75">
      <c r="A32" s="1"/>
      <c r="B32" s="1"/>
      <c r="C32" s="4"/>
      <c r="D32" s="1"/>
      <c r="E32" s="1"/>
      <c r="I32" s="4"/>
    </row>
    <row r="33" spans="1:9" ht="13.5" thickBot="1">
      <c r="A33" s="26" t="s">
        <v>9</v>
      </c>
      <c r="B33" s="27" t="s">
        <v>57</v>
      </c>
      <c r="C33" s="28"/>
      <c r="D33" s="29"/>
      <c r="E33" s="44" t="str">
        <f>E6</f>
        <v>BOAT RAMP/PARKING</v>
      </c>
      <c r="F33" s="44" t="str">
        <f>F6</f>
        <v>BOAT STORAGE</v>
      </c>
      <c r="G33" s="44" t="str">
        <f>G6</f>
        <v>CAMPGROUND</v>
      </c>
      <c r="H33" s="44" t="str">
        <f>H6</f>
        <v>BEACH AREA</v>
      </c>
      <c r="I33" s="44" t="str">
        <f>I6</f>
        <v>TOTAL</v>
      </c>
    </row>
    <row r="34" spans="1:9" ht="12.75">
      <c r="A34" s="16"/>
      <c r="B34" s="25" t="s">
        <v>62</v>
      </c>
      <c r="C34" s="4"/>
      <c r="D34" s="1"/>
      <c r="E34" s="7">
        <v>2</v>
      </c>
      <c r="F34" s="7">
        <v>1</v>
      </c>
      <c r="G34" s="7">
        <v>26</v>
      </c>
      <c r="H34" s="7">
        <v>1</v>
      </c>
      <c r="I34" s="4"/>
    </row>
    <row r="35" spans="1:9" ht="12.75">
      <c r="A35" s="16"/>
      <c r="B35" s="25" t="s">
        <v>63</v>
      </c>
      <c r="C35" s="4"/>
      <c r="D35" s="1"/>
      <c r="E35" s="7">
        <v>180</v>
      </c>
      <c r="F35" s="7">
        <v>180</v>
      </c>
      <c r="G35" s="7">
        <v>100</v>
      </c>
      <c r="H35" s="7">
        <v>180</v>
      </c>
      <c r="I35" s="12"/>
    </row>
    <row r="36" spans="2:9" ht="12.75">
      <c r="B36" s="25" t="s">
        <v>43</v>
      </c>
      <c r="C36" s="8"/>
      <c r="D36" s="8"/>
      <c r="E36" s="8">
        <f>E34*E35*1</f>
        <v>360</v>
      </c>
      <c r="F36" s="8">
        <f>F34*F35*1</f>
        <v>180</v>
      </c>
      <c r="G36" s="8">
        <f>G34*G35*0.25</f>
        <v>650</v>
      </c>
      <c r="H36" s="8">
        <f>H34*H35*1</f>
        <v>180</v>
      </c>
      <c r="I36" s="8"/>
    </row>
    <row r="37" spans="2:9" ht="12.75">
      <c r="B37" s="25" t="s">
        <v>44</v>
      </c>
      <c r="C37" s="8"/>
      <c r="D37" s="8"/>
      <c r="E37" s="43">
        <v>15</v>
      </c>
      <c r="F37" s="43">
        <v>15</v>
      </c>
      <c r="G37" s="43">
        <v>15</v>
      </c>
      <c r="H37" s="43">
        <v>15</v>
      </c>
      <c r="I37" s="43"/>
    </row>
    <row r="38" spans="2:9" ht="12.75">
      <c r="B38" s="25" t="s">
        <v>45</v>
      </c>
      <c r="C38" s="8"/>
      <c r="D38" s="8"/>
      <c r="E38" s="37">
        <f>E36*E37</f>
        <v>5400</v>
      </c>
      <c r="F38" s="37">
        <f>F36*F37</f>
        <v>2700</v>
      </c>
      <c r="G38" s="37">
        <f>G36*G37</f>
        <v>9750</v>
      </c>
      <c r="H38" s="37">
        <f>H36*H37</f>
        <v>2700</v>
      </c>
      <c r="I38" s="37">
        <f>SUM(E38:H38)</f>
        <v>20550</v>
      </c>
    </row>
    <row r="39" spans="2:9" ht="12.75">
      <c r="B39" s="25" t="s">
        <v>46</v>
      </c>
      <c r="C39" s="8"/>
      <c r="D39" s="33">
        <v>0.075</v>
      </c>
      <c r="E39" s="38">
        <f>ROUND(E38*$D$39,-2)</f>
        <v>400</v>
      </c>
      <c r="F39" s="38">
        <f>ROUND(F38*$D$39,-2)</f>
        <v>200</v>
      </c>
      <c r="G39" s="38">
        <f>ROUND(G38*$D$39,-2)</f>
        <v>700</v>
      </c>
      <c r="H39" s="38">
        <f>ROUND(H38*$D$39,-2)</f>
        <v>200</v>
      </c>
      <c r="I39" s="38">
        <f>SUM(D39:H39)</f>
        <v>1500.075</v>
      </c>
    </row>
    <row r="40" spans="2:9" ht="12.75">
      <c r="B40" s="25" t="s">
        <v>47</v>
      </c>
      <c r="C40" s="8"/>
      <c r="D40" s="8"/>
      <c r="E40" s="42">
        <f>SUM(E38:E39)</f>
        <v>5800</v>
      </c>
      <c r="F40" s="42">
        <f>SUM(F38:F39)</f>
        <v>2900</v>
      </c>
      <c r="G40" s="42">
        <f>SUM(G38:G39)</f>
        <v>10450</v>
      </c>
      <c r="H40" s="42">
        <f>SUM(H38:H39)</f>
        <v>2900</v>
      </c>
      <c r="I40" s="42">
        <f aca="true" t="shared" si="2" ref="I40:I46">SUM(E40:H40)</f>
        <v>22050</v>
      </c>
    </row>
    <row r="41" spans="2:9" ht="12.75">
      <c r="B41" s="25" t="s">
        <v>48</v>
      </c>
      <c r="C41" s="8"/>
      <c r="D41" s="8"/>
      <c r="E41" s="39">
        <v>200</v>
      </c>
      <c r="F41" s="39">
        <v>500</v>
      </c>
      <c r="G41" s="39">
        <v>520</v>
      </c>
      <c r="H41" s="39">
        <v>200</v>
      </c>
      <c r="I41" s="39">
        <f t="shared" si="2"/>
        <v>1420</v>
      </c>
    </row>
    <row r="42" spans="2:9" ht="12.75">
      <c r="B42" s="25" t="s">
        <v>49</v>
      </c>
      <c r="C42" s="8"/>
      <c r="D42" s="8"/>
      <c r="E42" s="39"/>
      <c r="F42" s="39"/>
      <c r="G42" s="39">
        <f>(G34*G35)*4</f>
        <v>10400</v>
      </c>
      <c r="H42" s="39"/>
      <c r="I42" s="39">
        <f t="shared" si="2"/>
        <v>10400</v>
      </c>
    </row>
    <row r="43" spans="2:9" ht="12.75">
      <c r="B43" s="25" t="s">
        <v>160</v>
      </c>
      <c r="C43" s="8"/>
      <c r="D43" s="8"/>
      <c r="E43" s="39"/>
      <c r="F43" s="39"/>
      <c r="G43" s="39"/>
      <c r="H43" s="39"/>
      <c r="I43" s="39"/>
    </row>
    <row r="44" spans="2:9" ht="12.75">
      <c r="B44" s="25" t="s">
        <v>50</v>
      </c>
      <c r="C44" s="8"/>
      <c r="D44" s="8"/>
      <c r="E44" s="40"/>
      <c r="F44" s="40"/>
      <c r="G44" s="40"/>
      <c r="H44" s="40"/>
      <c r="I44" s="39">
        <f t="shared" si="2"/>
        <v>0</v>
      </c>
    </row>
    <row r="45" spans="2:9" ht="12.75">
      <c r="B45" s="25" t="s">
        <v>61</v>
      </c>
      <c r="C45" s="8"/>
      <c r="D45" s="33">
        <v>0.2</v>
      </c>
      <c r="E45" s="41">
        <f>ROUND(SUM(E40:E44)*$D$45,-2)</f>
        <v>1200</v>
      </c>
      <c r="F45" s="41">
        <f>ROUND(SUM(F40:F44)*$D$45,-2)</f>
        <v>700</v>
      </c>
      <c r="G45" s="41">
        <f>ROUND(SUM(G40:G44)*$D$45,-2)</f>
        <v>4300</v>
      </c>
      <c r="H45" s="41">
        <f>ROUND(SUM(H40:H44)*$D$45,-2)</f>
        <v>600</v>
      </c>
      <c r="I45" s="41">
        <f t="shared" si="2"/>
        <v>6800</v>
      </c>
    </row>
    <row r="46" spans="2:9" ht="13.5" thickBot="1">
      <c r="B46" s="34" t="s">
        <v>51</v>
      </c>
      <c r="C46" s="8"/>
      <c r="D46" s="8"/>
      <c r="E46" s="58">
        <f>SUM(E40:E45)</f>
        <v>7200</v>
      </c>
      <c r="F46" s="58">
        <f>SUM(F40:F45)</f>
        <v>4100</v>
      </c>
      <c r="G46" s="58">
        <f>SUM(G40:G45)</f>
        <v>25670</v>
      </c>
      <c r="H46" s="58">
        <f>SUM(H40:H45)</f>
        <v>3700</v>
      </c>
      <c r="I46" s="58">
        <f t="shared" si="2"/>
        <v>40670</v>
      </c>
    </row>
    <row r="47" spans="2:9" ht="13.5" thickTop="1">
      <c r="B47" s="7"/>
      <c r="C47" s="8"/>
      <c r="D47" s="8"/>
      <c r="E47" s="8"/>
      <c r="F47" s="8"/>
      <c r="G47" s="8"/>
      <c r="H47" s="8"/>
      <c r="I47" s="12"/>
    </row>
    <row r="48" spans="2:9" ht="12.75">
      <c r="B48" s="7"/>
      <c r="C48" s="8"/>
      <c r="D48" s="8"/>
      <c r="E48" s="8"/>
      <c r="F48" s="8"/>
      <c r="G48" s="8"/>
      <c r="H48" s="8"/>
      <c r="I48" s="12"/>
    </row>
    <row r="49" spans="1:9" ht="13.5" thickBot="1">
      <c r="A49" s="26" t="s">
        <v>10</v>
      </c>
      <c r="B49" s="27" t="s">
        <v>58</v>
      </c>
      <c r="C49" s="30"/>
      <c r="D49" s="30"/>
      <c r="E49" s="44" t="str">
        <f>E33</f>
        <v>BOAT RAMP/PARKING</v>
      </c>
      <c r="F49" s="44" t="str">
        <f>F33</f>
        <v>BOAT STORAGE</v>
      </c>
      <c r="G49" s="44" t="str">
        <f>G33</f>
        <v>CAMPGROUND</v>
      </c>
      <c r="H49" s="44" t="str">
        <f>H33</f>
        <v>BEACH AREA</v>
      </c>
      <c r="I49" s="47" t="str">
        <f>I33</f>
        <v>TOTAL</v>
      </c>
    </row>
    <row r="50" spans="1:9" ht="12.75">
      <c r="A50" s="16"/>
      <c r="B50" s="25" t="s">
        <v>62</v>
      </c>
      <c r="C50" s="7"/>
      <c r="D50" s="7"/>
      <c r="E50" s="7">
        <v>2</v>
      </c>
      <c r="F50" s="7">
        <v>1</v>
      </c>
      <c r="G50" s="7">
        <v>26</v>
      </c>
      <c r="H50" s="7">
        <v>1</v>
      </c>
      <c r="I50" s="12"/>
    </row>
    <row r="51" spans="1:9" ht="12.75">
      <c r="A51" s="16"/>
      <c r="B51" s="25" t="s">
        <v>64</v>
      </c>
      <c r="C51" s="7"/>
      <c r="D51" s="7"/>
      <c r="E51" s="7">
        <v>100</v>
      </c>
      <c r="F51" s="7">
        <v>180</v>
      </c>
      <c r="G51" s="7">
        <v>100</v>
      </c>
      <c r="H51" s="7">
        <v>180</v>
      </c>
      <c r="I51" s="12"/>
    </row>
    <row r="52" spans="2:9" ht="12.75">
      <c r="B52" s="25" t="s">
        <v>65</v>
      </c>
      <c r="C52" s="8"/>
      <c r="D52" s="8"/>
      <c r="E52" s="31">
        <v>7</v>
      </c>
      <c r="F52" s="31">
        <v>2.5</v>
      </c>
      <c r="G52" s="31">
        <v>27</v>
      </c>
      <c r="H52" s="31">
        <v>7</v>
      </c>
      <c r="I52" s="12"/>
    </row>
    <row r="53" spans="2:9" ht="12.75">
      <c r="B53" s="25" t="s">
        <v>66</v>
      </c>
      <c r="C53" s="8"/>
      <c r="D53" s="8"/>
      <c r="E53" s="24">
        <v>30</v>
      </c>
      <c r="F53" s="24">
        <v>30</v>
      </c>
      <c r="G53" s="24">
        <v>1</v>
      </c>
      <c r="H53" s="24">
        <v>10</v>
      </c>
      <c r="I53" s="24"/>
    </row>
    <row r="54" spans="2:9" ht="13.5" thickBot="1">
      <c r="B54" s="34" t="s">
        <v>52</v>
      </c>
      <c r="C54" s="8"/>
      <c r="D54" s="8"/>
      <c r="E54" s="49">
        <f>E50*E51*E52*E53</f>
        <v>42000</v>
      </c>
      <c r="F54" s="49">
        <f>F50*F51*F52*F53</f>
        <v>13500</v>
      </c>
      <c r="G54" s="49">
        <f>G50*G51*G52*G53</f>
        <v>70200</v>
      </c>
      <c r="H54" s="49">
        <f>H50*H51*H52*H53</f>
        <v>12600</v>
      </c>
      <c r="I54" s="49">
        <f>SUM(E54:H54)</f>
        <v>138300</v>
      </c>
    </row>
    <row r="55" spans="2:9" ht="13.5" thickTop="1">
      <c r="B55" s="25"/>
      <c r="C55" s="8"/>
      <c r="D55" s="8"/>
      <c r="E55" s="8"/>
      <c r="F55" s="8"/>
      <c r="G55" s="8"/>
      <c r="H55" s="8"/>
      <c r="I55" s="8"/>
    </row>
    <row r="56" spans="2:9" ht="12.75">
      <c r="B56" s="25"/>
      <c r="C56" s="8"/>
      <c r="D56" s="8"/>
      <c r="E56" s="8"/>
      <c r="F56" s="8"/>
      <c r="G56" s="8"/>
      <c r="H56" s="8"/>
      <c r="I56" s="8"/>
    </row>
    <row r="57" spans="1:9" ht="13.5" thickBot="1">
      <c r="A57" s="26" t="s">
        <v>69</v>
      </c>
      <c r="B57" s="27" t="s">
        <v>68</v>
      </c>
      <c r="C57" s="30"/>
      <c r="D57" s="30"/>
      <c r="E57" s="44" t="str">
        <f>E49</f>
        <v>BOAT RAMP/PARKING</v>
      </c>
      <c r="F57" s="44" t="str">
        <f>F49</f>
        <v>BOAT STORAGE</v>
      </c>
      <c r="G57" s="44" t="str">
        <f>G49</f>
        <v>CAMPGROUND</v>
      </c>
      <c r="H57" s="44" t="str">
        <f>H49</f>
        <v>BEACH AREA</v>
      </c>
      <c r="I57" s="47" t="str">
        <f>I49</f>
        <v>TOTAL</v>
      </c>
    </row>
    <row r="58" spans="2:9" ht="12.75">
      <c r="B58" s="25" t="s">
        <v>53</v>
      </c>
      <c r="C58" s="8"/>
      <c r="D58" s="8"/>
      <c r="E58" s="48">
        <f>E54-E46</f>
        <v>34800</v>
      </c>
      <c r="F58" s="48">
        <f>F54-F46</f>
        <v>9400</v>
      </c>
      <c r="G58" s="48">
        <f>G54-G46</f>
        <v>44530</v>
      </c>
      <c r="H58" s="48">
        <f>H54-H46</f>
        <v>8900</v>
      </c>
      <c r="I58" s="48">
        <f>I54-I46</f>
        <v>97630</v>
      </c>
    </row>
    <row r="59" spans="2:9" ht="12.75">
      <c r="B59" s="25" t="s">
        <v>54</v>
      </c>
      <c r="C59" s="8"/>
      <c r="D59" s="8"/>
      <c r="E59" s="50">
        <f>E30</f>
        <v>1011000</v>
      </c>
      <c r="F59" s="50">
        <f>F30</f>
        <v>18000</v>
      </c>
      <c r="G59" s="50">
        <f>G30</f>
        <v>1715000</v>
      </c>
      <c r="H59" s="50">
        <f>H30</f>
        <v>546000</v>
      </c>
      <c r="I59" s="50">
        <f>I30</f>
        <v>3290000</v>
      </c>
    </row>
    <row r="60" spans="2:9" ht="12.75">
      <c r="B60" s="25" t="s">
        <v>55</v>
      </c>
      <c r="C60" s="8"/>
      <c r="D60" s="8"/>
      <c r="E60" s="20">
        <f>IF(ISERROR(E59/E58),0,E59/E58)</f>
        <v>29.051724137931036</v>
      </c>
      <c r="F60" s="20">
        <f>IF(ISERROR(F59/F58),0,F59/F58)</f>
        <v>1.9148936170212767</v>
      </c>
      <c r="G60" s="20">
        <f>IF(ISERROR(G59/G58),0,G59/G58)</f>
        <v>38.51336177857624</v>
      </c>
      <c r="H60" s="20">
        <f>IF(ISERROR(H59/H58),0,H59/H58)</f>
        <v>61.348314606741575</v>
      </c>
      <c r="I60" s="20">
        <f>IF(ISERROR(I59/I58),0,I59/I58)</f>
        <v>33.69865819932398</v>
      </c>
    </row>
    <row r="61" spans="2:9" ht="12.75">
      <c r="B61" s="25" t="s">
        <v>80</v>
      </c>
      <c r="C61" s="8"/>
      <c r="D61" s="8"/>
      <c r="E61" s="32">
        <f>IF(ISERROR(E58/E59),0,E58/E59)</f>
        <v>0.034421364985163204</v>
      </c>
      <c r="F61" s="32">
        <f>IF(ISERROR(F58/F59),0,F58/F59)</f>
        <v>0.5222222222222223</v>
      </c>
      <c r="G61" s="32">
        <f>IF(ISERROR(G58/G59),0,G58/G59)</f>
        <v>0.025965014577259474</v>
      </c>
      <c r="H61" s="32">
        <f>IF(ISERROR(H58/H59),0,H58/H59)</f>
        <v>0.0163003663003663</v>
      </c>
      <c r="I61" s="32">
        <f>IF(ISERROR(I58/I59),0,I58/I59)</f>
        <v>0.029674772036474163</v>
      </c>
    </row>
    <row r="62" spans="2:9" ht="12.75">
      <c r="B62" s="25" t="s">
        <v>81</v>
      </c>
      <c r="C62" s="8"/>
      <c r="D62" s="8"/>
      <c r="E62" s="32">
        <f>IF(ISERROR(RATE($D$5,E58,-E59)),E61,RATE($D$5,E58,-E59))</f>
        <v>0.0020848817464489402</v>
      </c>
      <c r="F62" s="32">
        <f>IF(ISERROR(RATE($D$5,F58,-F59)),F61,RATE($D$5,F58,-F59))</f>
        <v>0.5222222222222223</v>
      </c>
      <c r="G62" s="32">
        <f>IF(ISERROR(RATE($D$5,G58,-G59)),G61,RATE($D$5,G58,-G59))</f>
        <v>-0.01541445968760506</v>
      </c>
      <c r="H62" s="32">
        <f>IF(ISERROR(RATE($D$5,H58,-H59)),H61,RATE($D$5,H58,-H59))</f>
        <v>-0.041086189632262654</v>
      </c>
      <c r="I62" s="32">
        <f>IF(ISERROR(RATE($D$5,I58,-I59)),I61,RATE($D$5,I58,-I59))</f>
        <v>-0.007342403981429071</v>
      </c>
    </row>
    <row r="63" spans="2:9" ht="12.75">
      <c r="B63" s="25" t="s">
        <v>79</v>
      </c>
      <c r="C63" s="8"/>
      <c r="D63" s="8"/>
      <c r="E63" s="60">
        <f>ROUND(PV($D$4,$D$5,-E58)-E59,-3)</f>
        <v>-311000</v>
      </c>
      <c r="F63" s="60">
        <f>ROUND(PV($D$4,$D$5,-F58)-F59,-3)</f>
        <v>171000</v>
      </c>
      <c r="G63" s="60">
        <f>ROUND(PV($D$4,$D$5,-G58)-G59,-3)</f>
        <v>-819000</v>
      </c>
      <c r="H63" s="60">
        <f>ROUND(PV($D$4,$D$5,-H58)-H59,-3)</f>
        <v>-367000</v>
      </c>
      <c r="I63" s="60">
        <f>ROUND(PV($D$4,$D$5,-I58)-I59,-3)</f>
        <v>-1326000</v>
      </c>
    </row>
    <row r="64" spans="3:9" ht="12.75">
      <c r="C64" s="8"/>
      <c r="D64" s="8"/>
      <c r="E64" s="52"/>
      <c r="F64" s="8"/>
      <c r="G64" s="8"/>
      <c r="H64" s="8"/>
      <c r="I64" s="8"/>
    </row>
    <row r="65" spans="3:9" ht="12.75">
      <c r="C65" s="8"/>
      <c r="D65" s="8"/>
      <c r="E65" s="52"/>
      <c r="F65" s="8"/>
      <c r="G65" s="8"/>
      <c r="H65" s="8"/>
      <c r="I65" s="8"/>
    </row>
    <row r="66" spans="1:9" ht="13.5" thickBot="1">
      <c r="A66" s="26" t="s">
        <v>70</v>
      </c>
      <c r="B66" s="27" t="s">
        <v>60</v>
      </c>
      <c r="C66" s="30"/>
      <c r="D66" s="30"/>
      <c r="E66" s="44" t="str">
        <f>E57</f>
        <v>BOAT RAMP/PARKING</v>
      </c>
      <c r="F66" s="44" t="str">
        <f>F57</f>
        <v>BOAT STORAGE</v>
      </c>
      <c r="G66" s="44" t="str">
        <f>G57</f>
        <v>CAMPGROUND</v>
      </c>
      <c r="H66" s="44" t="str">
        <f>H57</f>
        <v>BEACH AREA</v>
      </c>
      <c r="I66" s="47" t="str">
        <f>I57</f>
        <v>TOTAL</v>
      </c>
    </row>
    <row r="67" spans="2:9" ht="12.75">
      <c r="B67" s="25" t="s">
        <v>74</v>
      </c>
      <c r="C67" s="8"/>
      <c r="D67" s="8"/>
      <c r="E67" s="48">
        <f>PMT($D$4,$D$5,-E30)+E46</f>
        <v>57455.957630018725</v>
      </c>
      <c r="F67" s="48">
        <f>PMT($D$4,$D$5,-F30)+F46</f>
        <v>4994.76482427333</v>
      </c>
      <c r="G67" s="48">
        <f>PMT($D$4,$D$5,-G30)+G46</f>
        <v>110921.20409048678</v>
      </c>
      <c r="H67" s="48">
        <f>PMT($D$4,$D$5,-H30)+H46</f>
        <v>30841.199669624362</v>
      </c>
      <c r="I67" s="48">
        <f>PMT($D$4,$D$5,-I30)+I46</f>
        <v>204213.1262144032</v>
      </c>
    </row>
    <row r="68" spans="2:9" ht="12.75">
      <c r="B68" s="25" t="s">
        <v>73</v>
      </c>
      <c r="E68" s="53">
        <f>IF(ISERROR(E67/(E53*E52*E50)),0,E67/(E53*E52*E50))</f>
        <v>136.7998991190922</v>
      </c>
      <c r="F68" s="53">
        <f>IF(ISERROR(F67/(F53*F52*F50)),0,F67/(F53*F52*F50))</f>
        <v>66.59686432364441</v>
      </c>
      <c r="G68" s="53">
        <f>IF(ISERROR(G67/(G53*G52*G50)),0,G67/(G53*G52*G50))</f>
        <v>158.00741323431166</v>
      </c>
      <c r="H68" s="53">
        <f>IF(ISERROR(H67/(H53*H52*H50)),0,H67/(H53*H52*H50))</f>
        <v>440.5885667089195</v>
      </c>
      <c r="I68" s="20"/>
    </row>
    <row r="69" spans="2:8" ht="12.75">
      <c r="B69" s="25" t="s">
        <v>71</v>
      </c>
      <c r="E69" s="31">
        <f>IF(ISERROR((E67+E46)/(E50*E51*E53)),0,E67/(E50*E51*E53))</f>
        <v>9.575992938336455</v>
      </c>
      <c r="F69" s="31">
        <f>IF(ISERROR((F67+F46)/(F50*F51*F53)),0,F67/(F50*F51*F53))</f>
        <v>0.9249564489395056</v>
      </c>
      <c r="G69" s="31">
        <f>IF(ISERROR((G67+G46)/(G50*G51*G53)),0,G67/(G50*G51*G53))</f>
        <v>42.66200157326414</v>
      </c>
      <c r="H69" s="31">
        <f>IF(ISERROR((H67+H46)/(H50*H51*H53)),0,H67/(H50*H51*H53))</f>
        <v>17.13399981645798</v>
      </c>
    </row>
    <row r="70" spans="2:8" ht="12.75">
      <c r="B70" s="25" t="s">
        <v>72</v>
      </c>
      <c r="E70" s="51">
        <f>IF(ISERROR(E67/(E52*E51*E50)),0,E67/(E52*E51*E50))</f>
        <v>41.03996973572766</v>
      </c>
      <c r="F70" s="51">
        <f>IF(ISERROR(F67/(F52*F51*F50)),0,F67/(F52*F51*F50))</f>
        <v>11.099477387274067</v>
      </c>
      <c r="G70" s="51">
        <f>IF(ISERROR(G67/(G52*G51*G50)),0,G67/(G52*G51*G50))</f>
        <v>1.5800741323431164</v>
      </c>
      <c r="H70" s="51">
        <f>IF(ISERROR(H67/(H52*H51*H50)),0,H67/(H52*H51*H50))</f>
        <v>24.47714259493997</v>
      </c>
    </row>
  </sheetData>
  <sheetProtection sheet="1" objects="1" scenarios="1" formatCells="0" formatColumns="0" formatRows="0" insertColumns="0" insertRows="0" insertHyperlinks="0" deleteColumns="0" deleteRows="0"/>
  <protectedRanges>
    <protectedRange sqref="A1:I2" name="Title"/>
    <protectedRange sqref="A6:I20" name="Breakdown by Facility"/>
    <protectedRange sqref="D22:D23 D25 D27:D28" name="Construction Percentages"/>
    <protectedRange sqref="D39 D45 E41:H44 E34:H37" name="Operating Costs"/>
    <protectedRange sqref="E50:H53" name="Revenue"/>
  </protectedRanges>
  <mergeCells count="3">
    <mergeCell ref="E5:I5"/>
    <mergeCell ref="A1:I1"/>
    <mergeCell ref="A2:I2"/>
  </mergeCells>
  <printOptions/>
  <pageMargins left="0.75" right="0.75" top="1" bottom="1" header="0.5" footer="0.5"/>
  <pageSetup firstPageNumber="22" useFirstPageNumber="1" horizontalDpi="600" verticalDpi="600" orientation="portrait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V70"/>
  <sheetViews>
    <sheetView workbookViewId="0" topLeftCell="A1">
      <selection activeCell="A1" sqref="A1:G1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14.8515625" style="0" customWidth="1"/>
    <col min="4" max="4" width="6.28125" style="0" bestFit="1" customWidth="1"/>
    <col min="5" max="5" width="14.7109375" style="0" bestFit="1" customWidth="1"/>
    <col min="6" max="6" width="11.57421875" style="0" bestFit="1" customWidth="1"/>
    <col min="7" max="7" width="12.00390625" style="0" bestFit="1" customWidth="1"/>
  </cols>
  <sheetData>
    <row r="1" spans="1:7" ht="15.75">
      <c r="A1" s="108" t="s">
        <v>170</v>
      </c>
      <c r="B1" s="108"/>
      <c r="C1" s="108"/>
      <c r="D1" s="108"/>
      <c r="E1" s="108"/>
      <c r="F1" s="108"/>
      <c r="G1" s="108"/>
    </row>
    <row r="2" spans="1:7" ht="15">
      <c r="A2" s="109" t="s">
        <v>38</v>
      </c>
      <c r="B2" s="109"/>
      <c r="C2" s="109"/>
      <c r="D2" s="109"/>
      <c r="E2" s="109"/>
      <c r="F2" s="109"/>
      <c r="G2" s="109"/>
    </row>
    <row r="3" spans="1:4" ht="12.75">
      <c r="A3" s="1"/>
      <c r="B3" s="1"/>
      <c r="C3" s="1"/>
      <c r="D3" s="1"/>
    </row>
    <row r="4" spans="1:4" ht="12.75">
      <c r="A4" s="1"/>
      <c r="B4" s="1"/>
      <c r="C4" s="17" t="s">
        <v>78</v>
      </c>
      <c r="D4" s="3">
        <v>0.028</v>
      </c>
    </row>
    <row r="5" spans="1:7" ht="13.5" thickBot="1">
      <c r="A5" s="26" t="s">
        <v>4</v>
      </c>
      <c r="B5" s="26" t="s">
        <v>59</v>
      </c>
      <c r="C5" s="56" t="s">
        <v>0</v>
      </c>
      <c r="D5" s="29">
        <v>1</v>
      </c>
      <c r="E5" s="107"/>
      <c r="F5" s="107"/>
      <c r="G5" s="107"/>
    </row>
    <row r="6" spans="1:7" ht="12.75">
      <c r="A6" s="1"/>
      <c r="B6" s="2" t="s">
        <v>1</v>
      </c>
      <c r="C6" s="2" t="s">
        <v>3</v>
      </c>
      <c r="D6" s="2" t="s">
        <v>2</v>
      </c>
      <c r="E6" s="23" t="s">
        <v>102</v>
      </c>
      <c r="F6" s="45" t="s">
        <v>103</v>
      </c>
      <c r="G6" s="46" t="s">
        <v>42</v>
      </c>
    </row>
    <row r="7" spans="1:7" ht="12.75">
      <c r="A7" s="1">
        <v>1</v>
      </c>
      <c r="B7" s="7" t="s">
        <v>98</v>
      </c>
      <c r="C7" s="13">
        <v>110</v>
      </c>
      <c r="D7" s="7" t="s">
        <v>97</v>
      </c>
      <c r="E7" s="21">
        <v>6</v>
      </c>
      <c r="F7" s="22"/>
      <c r="G7" s="35">
        <f aca="true" t="shared" si="0" ref="G7:G20">SUM(E7:F7)*C7</f>
        <v>660</v>
      </c>
    </row>
    <row r="8" spans="1:7" ht="12.75">
      <c r="A8" s="1">
        <v>2</v>
      </c>
      <c r="B8" s="7" t="s">
        <v>99</v>
      </c>
      <c r="C8" s="13">
        <v>20</v>
      </c>
      <c r="D8" s="7" t="s">
        <v>97</v>
      </c>
      <c r="E8" s="21">
        <v>2</v>
      </c>
      <c r="F8" s="22">
        <v>2</v>
      </c>
      <c r="G8" s="36">
        <f t="shared" si="0"/>
        <v>80</v>
      </c>
    </row>
    <row r="9" spans="1:7" ht="12.75">
      <c r="A9" s="1">
        <v>3</v>
      </c>
      <c r="B9" s="7" t="s">
        <v>91</v>
      </c>
      <c r="C9" s="13">
        <v>200</v>
      </c>
      <c r="D9" s="7" t="s">
        <v>97</v>
      </c>
      <c r="E9" s="21">
        <v>2</v>
      </c>
      <c r="F9" s="22">
        <v>2</v>
      </c>
      <c r="G9" s="36">
        <f t="shared" si="0"/>
        <v>800</v>
      </c>
    </row>
    <row r="10" spans="1:7" ht="12.75">
      <c r="A10" s="9">
        <v>4</v>
      </c>
      <c r="B10" s="7" t="s">
        <v>92</v>
      </c>
      <c r="C10" s="13">
        <v>1000</v>
      </c>
      <c r="D10" s="7" t="s">
        <v>97</v>
      </c>
      <c r="E10" s="21"/>
      <c r="F10" s="22"/>
      <c r="G10" s="36">
        <f t="shared" si="0"/>
        <v>0</v>
      </c>
    </row>
    <row r="11" spans="1:7" ht="12.75">
      <c r="A11" s="1">
        <v>5</v>
      </c>
      <c r="B11" s="7" t="s">
        <v>95</v>
      </c>
      <c r="C11" s="13">
        <v>75</v>
      </c>
      <c r="D11" s="7" t="s">
        <v>6</v>
      </c>
      <c r="E11" s="21">
        <v>3</v>
      </c>
      <c r="F11" s="22">
        <v>3</v>
      </c>
      <c r="G11" s="36">
        <f t="shared" si="0"/>
        <v>450</v>
      </c>
    </row>
    <row r="12" spans="1:7" ht="12.75">
      <c r="A12" s="9">
        <v>6</v>
      </c>
      <c r="B12" s="7" t="s">
        <v>93</v>
      </c>
      <c r="C12" s="13">
        <v>100</v>
      </c>
      <c r="D12" s="7" t="s">
        <v>6</v>
      </c>
      <c r="E12" s="21">
        <v>1</v>
      </c>
      <c r="F12" s="22">
        <v>1</v>
      </c>
      <c r="G12" s="36">
        <f t="shared" si="0"/>
        <v>200</v>
      </c>
    </row>
    <row r="13" spans="1:7" ht="12.75">
      <c r="A13" s="10">
        <v>7</v>
      </c>
      <c r="B13" s="7" t="s">
        <v>100</v>
      </c>
      <c r="C13" s="13">
        <v>20</v>
      </c>
      <c r="D13" s="7" t="s">
        <v>6</v>
      </c>
      <c r="E13" s="21">
        <v>1</v>
      </c>
      <c r="F13" s="22">
        <v>1</v>
      </c>
      <c r="G13" s="36">
        <f t="shared" si="0"/>
        <v>40</v>
      </c>
    </row>
    <row r="14" spans="1:7" ht="12.75">
      <c r="A14" s="1">
        <v>8</v>
      </c>
      <c r="B14" s="7" t="s">
        <v>101</v>
      </c>
      <c r="C14" s="13">
        <v>5</v>
      </c>
      <c r="D14" s="7" t="s">
        <v>6</v>
      </c>
      <c r="E14" s="21">
        <v>4</v>
      </c>
      <c r="F14" s="22">
        <v>4</v>
      </c>
      <c r="G14" s="36">
        <f t="shared" si="0"/>
        <v>40</v>
      </c>
    </row>
    <row r="15" spans="1:7" ht="12.75">
      <c r="A15" s="1">
        <v>9</v>
      </c>
      <c r="B15" s="7" t="s">
        <v>94</v>
      </c>
      <c r="C15" s="13">
        <v>500</v>
      </c>
      <c r="D15" s="7" t="s">
        <v>6</v>
      </c>
      <c r="E15" s="21"/>
      <c r="F15" s="22"/>
      <c r="G15" s="36">
        <f t="shared" si="0"/>
        <v>0</v>
      </c>
    </row>
    <row r="16" spans="1:7" ht="12.75">
      <c r="A16" s="1">
        <v>10</v>
      </c>
      <c r="B16" s="7" t="s">
        <v>96</v>
      </c>
      <c r="C16" s="13">
        <v>250</v>
      </c>
      <c r="D16" s="7" t="s">
        <v>6</v>
      </c>
      <c r="E16" s="21">
        <v>1</v>
      </c>
      <c r="F16" s="22">
        <v>1</v>
      </c>
      <c r="G16" s="36">
        <f t="shared" si="0"/>
        <v>500</v>
      </c>
    </row>
    <row r="17" spans="1:7" ht="12.75">
      <c r="A17" s="9">
        <v>11</v>
      </c>
      <c r="B17" s="7"/>
      <c r="C17" s="13"/>
      <c r="D17" s="7"/>
      <c r="E17" s="22"/>
      <c r="F17" s="22"/>
      <c r="G17" s="36">
        <f t="shared" si="0"/>
        <v>0</v>
      </c>
    </row>
    <row r="18" spans="1:230" ht="12.75">
      <c r="A18" s="10">
        <v>12</v>
      </c>
      <c r="B18" s="7"/>
      <c r="C18" s="13"/>
      <c r="D18" s="7"/>
      <c r="E18" s="22"/>
      <c r="F18" s="22"/>
      <c r="G18" s="36">
        <f t="shared" si="0"/>
        <v>0</v>
      </c>
      <c r="H18" s="4"/>
      <c r="I18" s="6"/>
      <c r="J18" s="4"/>
      <c r="K18" s="10"/>
      <c r="L18" s="7"/>
      <c r="M18" s="7"/>
      <c r="N18" s="14"/>
      <c r="O18" s="13"/>
      <c r="P18" s="4"/>
      <c r="Q18" s="6"/>
      <c r="R18" s="4"/>
      <c r="S18" s="10"/>
      <c r="T18" s="7"/>
      <c r="U18" s="7"/>
      <c r="V18" s="14"/>
      <c r="W18" s="13"/>
      <c r="X18" s="4"/>
      <c r="Y18" s="6"/>
      <c r="Z18" s="4"/>
      <c r="AA18" s="10"/>
      <c r="AB18" s="7"/>
      <c r="AC18" s="7"/>
      <c r="AD18" s="14"/>
      <c r="AE18" s="13"/>
      <c r="AF18" s="4"/>
      <c r="AG18" s="6"/>
      <c r="AH18" s="4"/>
      <c r="AI18" s="10"/>
      <c r="AJ18" s="7"/>
      <c r="AK18" s="7"/>
      <c r="AL18" s="14"/>
      <c r="AM18" s="13"/>
      <c r="AN18" s="4"/>
      <c r="AO18" s="6"/>
      <c r="AP18" s="4"/>
      <c r="AQ18" s="10"/>
      <c r="AR18" s="7"/>
      <c r="AS18" s="7"/>
      <c r="AT18" s="14"/>
      <c r="AU18" s="13"/>
      <c r="AV18" s="4"/>
      <c r="AW18" s="6"/>
      <c r="AX18" s="4"/>
      <c r="AY18" s="10"/>
      <c r="AZ18" s="7"/>
      <c r="BA18" s="7"/>
      <c r="BB18" s="14"/>
      <c r="BC18" s="13"/>
      <c r="BD18" s="4"/>
      <c r="BE18" s="6"/>
      <c r="BF18" s="4"/>
      <c r="BG18" s="10"/>
      <c r="BH18" s="7"/>
      <c r="BI18" s="7"/>
      <c r="BJ18" s="14"/>
      <c r="BK18" s="13"/>
      <c r="BL18" s="4"/>
      <c r="BM18" s="6"/>
      <c r="BN18" s="4"/>
      <c r="BO18" s="10"/>
      <c r="BP18" s="7"/>
      <c r="BQ18" s="7"/>
      <c r="BR18" s="14"/>
      <c r="BS18" s="13"/>
      <c r="BT18" s="4"/>
      <c r="BU18" s="6"/>
      <c r="BV18" s="4"/>
      <c r="BW18" s="10"/>
      <c r="BX18" s="7"/>
      <c r="BY18" s="7"/>
      <c r="BZ18" s="14"/>
      <c r="CA18" s="13"/>
      <c r="CB18" s="4"/>
      <c r="CC18" s="6"/>
      <c r="CD18" s="4"/>
      <c r="CE18" s="10"/>
      <c r="CF18" s="7"/>
      <c r="CG18" s="7"/>
      <c r="CH18" s="14"/>
      <c r="CI18" s="13"/>
      <c r="CJ18" s="4"/>
      <c r="CK18" s="6"/>
      <c r="CL18" s="4"/>
      <c r="CM18" s="10"/>
      <c r="CN18" s="7"/>
      <c r="CO18" s="7"/>
      <c r="CP18" s="14"/>
      <c r="CQ18" s="13"/>
      <c r="CR18" s="4"/>
      <c r="CS18" s="6"/>
      <c r="CT18" s="4"/>
      <c r="CU18" s="10"/>
      <c r="CV18" s="7"/>
      <c r="CW18" s="7"/>
      <c r="CX18" s="14"/>
      <c r="CY18" s="13"/>
      <c r="CZ18" s="4"/>
      <c r="DA18" s="6"/>
      <c r="DB18" s="4"/>
      <c r="DC18" s="10"/>
      <c r="DD18" s="7"/>
      <c r="DE18" s="7"/>
      <c r="DF18" s="14"/>
      <c r="DG18" s="13"/>
      <c r="DH18" s="4"/>
      <c r="DI18" s="6"/>
      <c r="DJ18" s="4"/>
      <c r="DK18" s="10"/>
      <c r="DL18" s="7"/>
      <c r="DM18" s="7"/>
      <c r="DN18" s="14"/>
      <c r="DO18" s="13"/>
      <c r="DP18" s="4"/>
      <c r="DQ18" s="6"/>
      <c r="DR18" s="4"/>
      <c r="DS18" s="10"/>
      <c r="DT18" s="7"/>
      <c r="DU18" s="7"/>
      <c r="DV18" s="14"/>
      <c r="DW18" s="13"/>
      <c r="DX18" s="4"/>
      <c r="DY18" s="6"/>
      <c r="DZ18" s="4"/>
      <c r="EA18" s="10"/>
      <c r="EB18" s="7"/>
      <c r="EC18" s="7"/>
      <c r="ED18" s="14"/>
      <c r="EE18" s="13"/>
      <c r="EF18" s="4"/>
      <c r="EG18" s="6"/>
      <c r="EH18" s="4"/>
      <c r="EI18" s="10"/>
      <c r="EJ18" s="7"/>
      <c r="EK18" s="7"/>
      <c r="EL18" s="14"/>
      <c r="EM18" s="13"/>
      <c r="EN18" s="4"/>
      <c r="EO18" s="6"/>
      <c r="EP18" s="4"/>
      <c r="EQ18" s="10"/>
      <c r="ER18" s="7"/>
      <c r="ES18" s="7"/>
      <c r="ET18" s="14"/>
      <c r="EU18" s="13"/>
      <c r="EV18" s="4"/>
      <c r="EW18" s="6"/>
      <c r="EX18" s="4"/>
      <c r="EY18" s="10"/>
      <c r="EZ18" s="7"/>
      <c r="FA18" s="7"/>
      <c r="FB18" s="14"/>
      <c r="FC18" s="13"/>
      <c r="FD18" s="4"/>
      <c r="FE18" s="6"/>
      <c r="FF18" s="4"/>
      <c r="FG18" s="10"/>
      <c r="FH18" s="7"/>
      <c r="FI18" s="7"/>
      <c r="FJ18" s="14"/>
      <c r="FK18" s="13"/>
      <c r="FL18" s="4"/>
      <c r="FM18" s="6"/>
      <c r="FN18" s="4"/>
      <c r="FO18" s="10"/>
      <c r="FP18" s="7"/>
      <c r="FQ18" s="7"/>
      <c r="FR18" s="14"/>
      <c r="FS18" s="13"/>
      <c r="FT18" s="4"/>
      <c r="FU18" s="6"/>
      <c r="FV18" s="4"/>
      <c r="FW18" s="10"/>
      <c r="FX18" s="7"/>
      <c r="FY18" s="7"/>
      <c r="FZ18" s="14"/>
      <c r="GA18" s="13"/>
      <c r="GB18" s="4"/>
      <c r="GC18" s="6"/>
      <c r="GD18" s="4"/>
      <c r="GE18" s="10"/>
      <c r="GF18" s="7"/>
      <c r="GG18" s="7"/>
      <c r="GH18" s="14"/>
      <c r="GI18" s="13"/>
      <c r="GJ18" s="4"/>
      <c r="GK18" s="6"/>
      <c r="GL18" s="4"/>
      <c r="GM18" s="10"/>
      <c r="GN18" s="7"/>
      <c r="GO18" s="7"/>
      <c r="GP18" s="14"/>
      <c r="GQ18" s="13"/>
      <c r="GR18" s="4"/>
      <c r="GS18" s="6"/>
      <c r="GT18" s="4"/>
      <c r="GU18" s="10"/>
      <c r="GV18" s="7"/>
      <c r="GW18" s="7"/>
      <c r="GX18" s="14"/>
      <c r="GY18" s="13"/>
      <c r="GZ18" s="4"/>
      <c r="HA18" s="6"/>
      <c r="HB18" s="4"/>
      <c r="HC18" s="10"/>
      <c r="HD18" s="7"/>
      <c r="HE18" s="7"/>
      <c r="HF18" s="14"/>
      <c r="HG18" s="13"/>
      <c r="HH18" s="4"/>
      <c r="HI18" s="6"/>
      <c r="HJ18" s="4"/>
      <c r="HK18" s="10"/>
      <c r="HL18" s="7"/>
      <c r="HM18" s="7"/>
      <c r="HN18" s="14"/>
      <c r="HO18" s="13"/>
      <c r="HP18" s="4"/>
      <c r="HQ18" s="6"/>
      <c r="HR18" s="4"/>
      <c r="HS18" s="10"/>
      <c r="HT18" s="7"/>
      <c r="HU18" s="7"/>
      <c r="HV18" s="14"/>
    </row>
    <row r="19" spans="1:230" ht="12.75">
      <c r="A19" s="10">
        <v>13</v>
      </c>
      <c r="B19" s="7"/>
      <c r="C19" s="13"/>
      <c r="D19" s="7"/>
      <c r="E19" s="22"/>
      <c r="F19" s="22"/>
      <c r="G19" s="36">
        <f t="shared" si="0"/>
        <v>0</v>
      </c>
      <c r="H19" s="4"/>
      <c r="I19" s="6"/>
      <c r="J19" s="4"/>
      <c r="K19" s="10"/>
      <c r="L19" s="7"/>
      <c r="M19" s="7"/>
      <c r="N19" s="14"/>
      <c r="O19" s="13"/>
      <c r="P19" s="4"/>
      <c r="Q19" s="6"/>
      <c r="R19" s="4"/>
      <c r="S19" s="10"/>
      <c r="T19" s="7"/>
      <c r="U19" s="7"/>
      <c r="V19" s="14"/>
      <c r="W19" s="13"/>
      <c r="X19" s="4"/>
      <c r="Y19" s="6"/>
      <c r="Z19" s="4"/>
      <c r="AA19" s="10"/>
      <c r="AB19" s="7"/>
      <c r="AC19" s="7"/>
      <c r="AD19" s="14"/>
      <c r="AE19" s="13"/>
      <c r="AF19" s="4"/>
      <c r="AG19" s="6"/>
      <c r="AH19" s="4"/>
      <c r="AI19" s="10"/>
      <c r="AJ19" s="7"/>
      <c r="AK19" s="7"/>
      <c r="AL19" s="14"/>
      <c r="AM19" s="13"/>
      <c r="AN19" s="4"/>
      <c r="AO19" s="6"/>
      <c r="AP19" s="4"/>
      <c r="AQ19" s="10"/>
      <c r="AR19" s="7"/>
      <c r="AS19" s="7"/>
      <c r="AT19" s="14"/>
      <c r="AU19" s="13"/>
      <c r="AV19" s="4"/>
      <c r="AW19" s="6"/>
      <c r="AX19" s="4"/>
      <c r="AY19" s="10"/>
      <c r="AZ19" s="7"/>
      <c r="BA19" s="7"/>
      <c r="BB19" s="14"/>
      <c r="BC19" s="13"/>
      <c r="BD19" s="4"/>
      <c r="BE19" s="6"/>
      <c r="BF19" s="4"/>
      <c r="BG19" s="10"/>
      <c r="BH19" s="7"/>
      <c r="BI19" s="7"/>
      <c r="BJ19" s="14"/>
      <c r="BK19" s="13"/>
      <c r="BL19" s="4"/>
      <c r="BM19" s="6"/>
      <c r="BN19" s="4"/>
      <c r="BO19" s="10"/>
      <c r="BP19" s="7"/>
      <c r="BQ19" s="7"/>
      <c r="BR19" s="14"/>
      <c r="BS19" s="13"/>
      <c r="BT19" s="4"/>
      <c r="BU19" s="6"/>
      <c r="BV19" s="4"/>
      <c r="BW19" s="10"/>
      <c r="BX19" s="7"/>
      <c r="BY19" s="7"/>
      <c r="BZ19" s="14"/>
      <c r="CA19" s="13"/>
      <c r="CB19" s="4"/>
      <c r="CC19" s="6"/>
      <c r="CD19" s="4"/>
      <c r="CE19" s="10"/>
      <c r="CF19" s="7"/>
      <c r="CG19" s="7"/>
      <c r="CH19" s="14"/>
      <c r="CI19" s="13"/>
      <c r="CJ19" s="4"/>
      <c r="CK19" s="6"/>
      <c r="CL19" s="4"/>
      <c r="CM19" s="10"/>
      <c r="CN19" s="7"/>
      <c r="CO19" s="7"/>
      <c r="CP19" s="14"/>
      <c r="CQ19" s="13"/>
      <c r="CR19" s="4"/>
      <c r="CS19" s="6"/>
      <c r="CT19" s="4"/>
      <c r="CU19" s="10"/>
      <c r="CV19" s="7"/>
      <c r="CW19" s="7"/>
      <c r="CX19" s="14"/>
      <c r="CY19" s="13"/>
      <c r="CZ19" s="4"/>
      <c r="DA19" s="6"/>
      <c r="DB19" s="4"/>
      <c r="DC19" s="10"/>
      <c r="DD19" s="7"/>
      <c r="DE19" s="7"/>
      <c r="DF19" s="14"/>
      <c r="DG19" s="13"/>
      <c r="DH19" s="4"/>
      <c r="DI19" s="6"/>
      <c r="DJ19" s="4"/>
      <c r="DK19" s="10"/>
      <c r="DL19" s="7"/>
      <c r="DM19" s="7"/>
      <c r="DN19" s="14"/>
      <c r="DO19" s="13"/>
      <c r="DP19" s="4"/>
      <c r="DQ19" s="6"/>
      <c r="DR19" s="4"/>
      <c r="DS19" s="10"/>
      <c r="DT19" s="7"/>
      <c r="DU19" s="7"/>
      <c r="DV19" s="14"/>
      <c r="DW19" s="13"/>
      <c r="DX19" s="4"/>
      <c r="DY19" s="6"/>
      <c r="DZ19" s="4"/>
      <c r="EA19" s="10"/>
      <c r="EB19" s="7"/>
      <c r="EC19" s="7"/>
      <c r="ED19" s="14"/>
      <c r="EE19" s="13"/>
      <c r="EF19" s="4"/>
      <c r="EG19" s="6"/>
      <c r="EH19" s="4"/>
      <c r="EI19" s="10"/>
      <c r="EJ19" s="7"/>
      <c r="EK19" s="7"/>
      <c r="EL19" s="14"/>
      <c r="EM19" s="13"/>
      <c r="EN19" s="4"/>
      <c r="EO19" s="6"/>
      <c r="EP19" s="4"/>
      <c r="EQ19" s="10"/>
      <c r="ER19" s="7"/>
      <c r="ES19" s="7"/>
      <c r="ET19" s="14"/>
      <c r="EU19" s="13"/>
      <c r="EV19" s="4"/>
      <c r="EW19" s="6"/>
      <c r="EX19" s="4"/>
      <c r="EY19" s="10"/>
      <c r="EZ19" s="7"/>
      <c r="FA19" s="7"/>
      <c r="FB19" s="14"/>
      <c r="FC19" s="13"/>
      <c r="FD19" s="4"/>
      <c r="FE19" s="6"/>
      <c r="FF19" s="4"/>
      <c r="FG19" s="10"/>
      <c r="FH19" s="7"/>
      <c r="FI19" s="7"/>
      <c r="FJ19" s="14"/>
      <c r="FK19" s="13"/>
      <c r="FL19" s="4"/>
      <c r="FM19" s="6"/>
      <c r="FN19" s="4"/>
      <c r="FO19" s="10"/>
      <c r="FP19" s="7"/>
      <c r="FQ19" s="7"/>
      <c r="FR19" s="14"/>
      <c r="FS19" s="13"/>
      <c r="FT19" s="4"/>
      <c r="FU19" s="6"/>
      <c r="FV19" s="4"/>
      <c r="FW19" s="10"/>
      <c r="FX19" s="7"/>
      <c r="FY19" s="7"/>
      <c r="FZ19" s="14"/>
      <c r="GA19" s="13"/>
      <c r="GB19" s="4"/>
      <c r="GC19" s="6"/>
      <c r="GD19" s="4"/>
      <c r="GE19" s="10"/>
      <c r="GF19" s="7"/>
      <c r="GG19" s="7"/>
      <c r="GH19" s="14"/>
      <c r="GI19" s="13"/>
      <c r="GJ19" s="4"/>
      <c r="GK19" s="6"/>
      <c r="GL19" s="4"/>
      <c r="GM19" s="10"/>
      <c r="GN19" s="7"/>
      <c r="GO19" s="7"/>
      <c r="GP19" s="14"/>
      <c r="GQ19" s="13"/>
      <c r="GR19" s="4"/>
      <c r="GS19" s="6"/>
      <c r="GT19" s="4"/>
      <c r="GU19" s="10"/>
      <c r="GV19" s="7"/>
      <c r="GW19" s="7"/>
      <c r="GX19" s="14"/>
      <c r="GY19" s="13"/>
      <c r="GZ19" s="4"/>
      <c r="HA19" s="6"/>
      <c r="HB19" s="4"/>
      <c r="HC19" s="10"/>
      <c r="HD19" s="7"/>
      <c r="HE19" s="7"/>
      <c r="HF19" s="14"/>
      <c r="HG19" s="13"/>
      <c r="HH19" s="4"/>
      <c r="HI19" s="6"/>
      <c r="HJ19" s="4"/>
      <c r="HK19" s="10"/>
      <c r="HL19" s="7"/>
      <c r="HM19" s="7"/>
      <c r="HN19" s="14"/>
      <c r="HO19" s="13"/>
      <c r="HP19" s="4"/>
      <c r="HQ19" s="6"/>
      <c r="HR19" s="4"/>
      <c r="HS19" s="10"/>
      <c r="HT19" s="7"/>
      <c r="HU19" s="7"/>
      <c r="HV19" s="14"/>
    </row>
    <row r="20" spans="1:7" ht="12.75">
      <c r="A20" s="9"/>
      <c r="B20" s="7"/>
      <c r="C20" s="4"/>
      <c r="D20" s="7"/>
      <c r="E20" s="8"/>
      <c r="F20" s="8"/>
      <c r="G20" s="36">
        <f t="shared" si="0"/>
        <v>0</v>
      </c>
    </row>
    <row r="21" spans="1:7" ht="12.75">
      <c r="A21" s="9"/>
      <c r="B21" s="7"/>
      <c r="C21" s="19" t="s">
        <v>7</v>
      </c>
      <c r="D21" s="7"/>
      <c r="E21" s="59">
        <f>SUMPRODUCT($C$7:$C$19,E7:E19)</f>
        <v>1715</v>
      </c>
      <c r="F21" s="59">
        <f>SUMPRODUCT($C$7:$C$19,F7:F19)</f>
        <v>1055</v>
      </c>
      <c r="G21" s="59">
        <f aca="true" t="shared" si="1" ref="G21:G28">SUM(E21:F21)</f>
        <v>2770</v>
      </c>
    </row>
    <row r="22" spans="1:7" ht="12.75">
      <c r="A22" s="9"/>
      <c r="C22" s="54" t="s">
        <v>11</v>
      </c>
      <c r="D22" s="11">
        <v>0.05</v>
      </c>
      <c r="E22" s="36">
        <f>$D$22*E21</f>
        <v>85.75</v>
      </c>
      <c r="F22" s="36">
        <f>$D$22*F21</f>
        <v>52.75</v>
      </c>
      <c r="G22" s="36">
        <f t="shared" si="1"/>
        <v>138.5</v>
      </c>
    </row>
    <row r="23" spans="1:7" ht="12.75">
      <c r="A23" s="9"/>
      <c r="C23" s="54" t="s">
        <v>12</v>
      </c>
      <c r="D23" s="11">
        <v>0.05</v>
      </c>
      <c r="E23" s="36">
        <f>E21*$D$23</f>
        <v>85.75</v>
      </c>
      <c r="F23" s="36">
        <f>F21*$D$23</f>
        <v>52.75</v>
      </c>
      <c r="G23" s="36">
        <f t="shared" si="1"/>
        <v>138.5</v>
      </c>
    </row>
    <row r="24" spans="1:7" ht="12.75">
      <c r="A24" s="9"/>
      <c r="B24" s="54"/>
      <c r="C24" s="18" t="s">
        <v>13</v>
      </c>
      <c r="D24" s="11"/>
      <c r="E24" s="59">
        <f>SUM(E21:E23)</f>
        <v>1886.5</v>
      </c>
      <c r="F24" s="59">
        <f>SUM(F21:F23)</f>
        <v>1160.5</v>
      </c>
      <c r="G24" s="59">
        <f t="shared" si="1"/>
        <v>3047</v>
      </c>
    </row>
    <row r="25" spans="1:7" ht="12.75">
      <c r="A25" s="9"/>
      <c r="C25" s="54" t="s">
        <v>14</v>
      </c>
      <c r="D25" s="11">
        <v>0.1</v>
      </c>
      <c r="E25" s="36">
        <f>$D$25*E$24</f>
        <v>188.65</v>
      </c>
      <c r="F25" s="36">
        <f>$D$25*F$24</f>
        <v>116.05000000000001</v>
      </c>
      <c r="G25" s="36">
        <f t="shared" si="1"/>
        <v>304.70000000000005</v>
      </c>
    </row>
    <row r="26" spans="1:7" ht="12.75">
      <c r="A26" s="1"/>
      <c r="B26" s="55"/>
      <c r="C26" s="19" t="s">
        <v>15</v>
      </c>
      <c r="D26" s="1"/>
      <c r="E26" s="59">
        <f>ROUND(SUM(E24:E25),-2)</f>
        <v>2100</v>
      </c>
      <c r="F26" s="59">
        <f>ROUND(SUM(F24:F25),-2)</f>
        <v>1300</v>
      </c>
      <c r="G26" s="59">
        <f t="shared" si="1"/>
        <v>3400</v>
      </c>
    </row>
    <row r="27" spans="1:7" ht="12.75">
      <c r="A27" s="1"/>
      <c r="C27" s="54" t="s">
        <v>30</v>
      </c>
      <c r="D27" s="11">
        <v>0.03</v>
      </c>
      <c r="E27" s="36">
        <f>$D$27*E$26</f>
        <v>63</v>
      </c>
      <c r="F27" s="36">
        <f>$D$27*F$26</f>
        <v>39</v>
      </c>
      <c r="G27" s="36">
        <f t="shared" si="1"/>
        <v>102</v>
      </c>
    </row>
    <row r="28" spans="1:7" ht="12.75">
      <c r="A28" s="1"/>
      <c r="C28" s="54" t="s">
        <v>31</v>
      </c>
      <c r="D28" s="11">
        <v>0.03</v>
      </c>
      <c r="E28" s="36">
        <f>$D$28*E$26</f>
        <v>63</v>
      </c>
      <c r="F28" s="36">
        <f>$D$28*F$26</f>
        <v>39</v>
      </c>
      <c r="G28" s="36">
        <f t="shared" si="1"/>
        <v>102</v>
      </c>
    </row>
    <row r="29" spans="1:7" ht="12.75">
      <c r="A29" s="1"/>
      <c r="B29" s="1"/>
      <c r="C29" s="5"/>
      <c r="D29" s="1"/>
      <c r="E29" s="1"/>
      <c r="F29" s="1"/>
      <c r="G29" s="4"/>
    </row>
    <row r="30" spans="1:7" ht="13.5" thickBot="1">
      <c r="A30" s="1"/>
      <c r="B30" s="1"/>
      <c r="C30" s="19" t="s">
        <v>8</v>
      </c>
      <c r="D30" s="1"/>
      <c r="E30" s="57">
        <f>ROUND(SUM(E26:E29),-3)</f>
        <v>2000</v>
      </c>
      <c r="F30" s="57">
        <f>ROUND(SUM(F26:F29),-3)</f>
        <v>1000</v>
      </c>
      <c r="G30" s="57">
        <f>SUM(E30:F30)</f>
        <v>3000</v>
      </c>
    </row>
    <row r="31" spans="1:7" ht="13.5" thickTop="1">
      <c r="A31" s="1"/>
      <c r="B31" s="1"/>
      <c r="C31" s="19"/>
      <c r="D31" s="1"/>
      <c r="E31" s="15"/>
      <c r="F31" s="15"/>
      <c r="G31" s="15"/>
    </row>
    <row r="32" spans="1:7" ht="12.75">
      <c r="A32" s="1"/>
      <c r="B32" s="1"/>
      <c r="C32" s="4"/>
      <c r="D32" s="1"/>
      <c r="G32" s="4"/>
    </row>
    <row r="33" spans="1:7" ht="13.5" thickBot="1">
      <c r="A33" s="26" t="s">
        <v>9</v>
      </c>
      <c r="B33" s="27" t="s">
        <v>57</v>
      </c>
      <c r="C33" s="28"/>
      <c r="D33" s="29"/>
      <c r="E33" s="44" t="str">
        <f>E6</f>
        <v>HALF TRIATHALON</v>
      </c>
      <c r="F33" s="44" t="str">
        <f>F6</f>
        <v>FISHING DERBY</v>
      </c>
      <c r="G33" s="44" t="str">
        <f>G6</f>
        <v>TOTAL</v>
      </c>
    </row>
    <row r="34" spans="1:7" ht="12.75">
      <c r="A34" s="16"/>
      <c r="B34" s="25" t="s">
        <v>104</v>
      </c>
      <c r="C34" s="4"/>
      <c r="D34" s="1"/>
      <c r="E34" s="7">
        <v>2</v>
      </c>
      <c r="F34" s="7">
        <v>3</v>
      </c>
      <c r="G34" s="12"/>
    </row>
    <row r="35" spans="2:7" ht="12.75">
      <c r="B35" s="25" t="s">
        <v>105</v>
      </c>
      <c r="C35" s="8"/>
      <c r="D35" s="8"/>
      <c r="E35" s="8">
        <v>50</v>
      </c>
      <c r="F35" s="8">
        <v>75</v>
      </c>
      <c r="G35" s="8"/>
    </row>
    <row r="36" spans="2:7" ht="12.75">
      <c r="B36" s="25" t="s">
        <v>44</v>
      </c>
      <c r="C36" s="8"/>
      <c r="D36" s="8"/>
      <c r="E36" s="43">
        <v>15</v>
      </c>
      <c r="F36" s="43">
        <v>15</v>
      </c>
      <c r="G36" s="43"/>
    </row>
    <row r="37" spans="2:7" ht="12.75">
      <c r="B37" s="25" t="s">
        <v>45</v>
      </c>
      <c r="C37" s="8"/>
      <c r="D37" s="8"/>
      <c r="E37" s="37">
        <f>E35*E36</f>
        <v>750</v>
      </c>
      <c r="F37" s="37">
        <f>F35*F36</f>
        <v>1125</v>
      </c>
      <c r="G37" s="37">
        <f>SUM(E37:F37)</f>
        <v>1875</v>
      </c>
    </row>
    <row r="38" spans="2:7" ht="12.75">
      <c r="B38" s="25" t="s">
        <v>46</v>
      </c>
      <c r="C38" s="8"/>
      <c r="D38" s="33">
        <v>0.075</v>
      </c>
      <c r="E38" s="38">
        <f>ROUND(E37*$D$38,-2)</f>
        <v>100</v>
      </c>
      <c r="F38" s="38">
        <f>ROUND(F37*$D$38,-2)</f>
        <v>100</v>
      </c>
      <c r="G38" s="38">
        <f>SUM(D38:F38)</f>
        <v>200.075</v>
      </c>
    </row>
    <row r="39" spans="2:7" ht="12.75">
      <c r="B39" s="25" t="s">
        <v>47</v>
      </c>
      <c r="C39" s="8"/>
      <c r="D39" s="8"/>
      <c r="E39" s="42">
        <f>SUM(E37:E38)</f>
        <v>850</v>
      </c>
      <c r="F39" s="42">
        <f>SUM(F37:F38)</f>
        <v>1225</v>
      </c>
      <c r="G39" s="42">
        <f aca="true" t="shared" si="2" ref="G39:G45">SUM(E39:F39)</f>
        <v>2075</v>
      </c>
    </row>
    <row r="40" spans="2:7" ht="12.75">
      <c r="B40" s="25" t="s">
        <v>48</v>
      </c>
      <c r="C40" s="8"/>
      <c r="D40" s="8"/>
      <c r="E40" s="39">
        <v>50</v>
      </c>
      <c r="F40" s="39">
        <v>250</v>
      </c>
      <c r="G40" s="39">
        <f t="shared" si="2"/>
        <v>300</v>
      </c>
    </row>
    <row r="41" spans="2:7" ht="12.75">
      <c r="B41" s="25" t="s">
        <v>49</v>
      </c>
      <c r="C41" s="8"/>
      <c r="D41" s="8"/>
      <c r="E41" s="39">
        <v>25</v>
      </c>
      <c r="F41" s="39"/>
      <c r="G41" s="39">
        <f t="shared" si="2"/>
        <v>25</v>
      </c>
    </row>
    <row r="42" spans="2:7" ht="12.75">
      <c r="B42" s="25" t="s">
        <v>160</v>
      </c>
      <c r="C42" s="8"/>
      <c r="D42" s="8"/>
      <c r="E42" s="39"/>
      <c r="F42" s="39"/>
      <c r="G42" s="39"/>
    </row>
    <row r="43" spans="2:7" ht="12.75">
      <c r="B43" s="25" t="s">
        <v>50</v>
      </c>
      <c r="C43" s="8"/>
      <c r="D43" s="8"/>
      <c r="E43" s="40">
        <v>0</v>
      </c>
      <c r="F43" s="40">
        <v>250</v>
      </c>
      <c r="G43" s="39">
        <f t="shared" si="2"/>
        <v>250</v>
      </c>
    </row>
    <row r="44" spans="2:7" ht="12.75">
      <c r="B44" s="25" t="s">
        <v>61</v>
      </c>
      <c r="C44" s="8"/>
      <c r="D44" s="33">
        <v>0.2</v>
      </c>
      <c r="E44" s="41">
        <f>ROUND(SUM(E39:E43)*$D$44,-2)</f>
        <v>200</v>
      </c>
      <c r="F44" s="41">
        <f>ROUND(SUM(F39:F43)*$D$44,-2)</f>
        <v>300</v>
      </c>
      <c r="G44" s="41">
        <f t="shared" si="2"/>
        <v>500</v>
      </c>
    </row>
    <row r="45" spans="2:7" ht="13.5" thickBot="1">
      <c r="B45" s="34" t="s">
        <v>51</v>
      </c>
      <c r="C45" s="8"/>
      <c r="D45" s="8"/>
      <c r="E45" s="58">
        <f>SUM(E39:E44)</f>
        <v>1125</v>
      </c>
      <c r="F45" s="58">
        <f>SUM(F39:F44)</f>
        <v>2025</v>
      </c>
      <c r="G45" s="58">
        <f t="shared" si="2"/>
        <v>3150</v>
      </c>
    </row>
    <row r="46" spans="2:7" ht="13.5" thickTop="1">
      <c r="B46" s="7"/>
      <c r="C46" s="8"/>
      <c r="D46" s="8"/>
      <c r="E46" s="8"/>
      <c r="F46" s="8"/>
      <c r="G46" s="12"/>
    </row>
    <row r="47" spans="2:7" ht="12.75">
      <c r="B47" s="7"/>
      <c r="C47" s="8"/>
      <c r="D47" s="8"/>
      <c r="E47" s="8"/>
      <c r="F47" s="8"/>
      <c r="G47" s="12"/>
    </row>
    <row r="48" spans="1:7" ht="13.5" thickBot="1">
      <c r="A48" s="26" t="s">
        <v>10</v>
      </c>
      <c r="B48" s="27" t="s">
        <v>58</v>
      </c>
      <c r="C48" s="30"/>
      <c r="D48" s="30"/>
      <c r="E48" s="44" t="str">
        <f>E33</f>
        <v>HALF TRIATHALON</v>
      </c>
      <c r="F48" s="44" t="str">
        <f>F33</f>
        <v>FISHING DERBY</v>
      </c>
      <c r="G48" s="47" t="str">
        <f>G33</f>
        <v>TOTAL</v>
      </c>
    </row>
    <row r="49" spans="1:7" ht="12.75">
      <c r="A49" s="16"/>
      <c r="B49" s="25" t="s">
        <v>122</v>
      </c>
      <c r="C49" s="7"/>
      <c r="D49" s="7"/>
      <c r="E49" s="48">
        <v>2500</v>
      </c>
      <c r="F49" s="48">
        <v>2000</v>
      </c>
      <c r="G49" s="46"/>
    </row>
    <row r="50" spans="1:7" ht="12.75">
      <c r="A50" s="16"/>
      <c r="B50" s="25" t="s">
        <v>62</v>
      </c>
      <c r="C50" s="7"/>
      <c r="D50" s="7"/>
      <c r="E50" s="7">
        <v>50</v>
      </c>
      <c r="F50" s="7">
        <v>25</v>
      </c>
      <c r="G50" s="12"/>
    </row>
    <row r="51" spans="1:7" ht="12.75">
      <c r="A51" s="16"/>
      <c r="B51" s="25" t="s">
        <v>64</v>
      </c>
      <c r="C51" s="7"/>
      <c r="D51" s="7"/>
      <c r="E51" s="7">
        <v>2</v>
      </c>
      <c r="F51" s="7">
        <v>3</v>
      </c>
      <c r="G51" s="12"/>
    </row>
    <row r="52" spans="2:7" ht="12.75">
      <c r="B52" s="25" t="s">
        <v>65</v>
      </c>
      <c r="C52" s="8"/>
      <c r="D52" s="8"/>
      <c r="E52" s="31">
        <v>7</v>
      </c>
      <c r="F52" s="31">
        <v>12</v>
      </c>
      <c r="G52" s="12"/>
    </row>
    <row r="53" spans="2:7" ht="12.75">
      <c r="B53" s="25" t="s">
        <v>66</v>
      </c>
      <c r="C53" s="8"/>
      <c r="D53" s="8"/>
      <c r="E53" s="24">
        <v>1</v>
      </c>
      <c r="F53" s="24">
        <v>1</v>
      </c>
      <c r="G53" s="24"/>
    </row>
    <row r="54" spans="2:7" ht="13.5" thickBot="1">
      <c r="B54" s="34" t="s">
        <v>52</v>
      </c>
      <c r="C54" s="8"/>
      <c r="D54" s="8"/>
      <c r="E54" s="49">
        <f>E50*E51*E52*E53+E49</f>
        <v>3200</v>
      </c>
      <c r="F54" s="49">
        <f>F50*F51*F52*F53+F49</f>
        <v>2900</v>
      </c>
      <c r="G54" s="49">
        <f>SUM(E54:F54)</f>
        <v>6100</v>
      </c>
    </row>
    <row r="55" spans="2:7" ht="13.5" thickTop="1">
      <c r="B55" s="25"/>
      <c r="C55" s="8"/>
      <c r="D55" s="8"/>
      <c r="E55" s="8"/>
      <c r="F55" s="8"/>
      <c r="G55" s="8"/>
    </row>
    <row r="56" spans="2:7" ht="12.75">
      <c r="B56" s="25"/>
      <c r="C56" s="8"/>
      <c r="D56" s="8"/>
      <c r="E56" s="8"/>
      <c r="F56" s="8"/>
      <c r="G56" s="8"/>
    </row>
    <row r="57" spans="1:7" ht="13.5" thickBot="1">
      <c r="A57" s="26" t="s">
        <v>69</v>
      </c>
      <c r="B57" s="27" t="s">
        <v>68</v>
      </c>
      <c r="C57" s="30"/>
      <c r="D57" s="30"/>
      <c r="E57" s="44" t="str">
        <f>E48</f>
        <v>HALF TRIATHALON</v>
      </c>
      <c r="F57" s="44" t="str">
        <f>F48</f>
        <v>FISHING DERBY</v>
      </c>
      <c r="G57" s="47" t="str">
        <f>G48</f>
        <v>TOTAL</v>
      </c>
    </row>
    <row r="58" spans="2:7" ht="12.75">
      <c r="B58" s="25" t="s">
        <v>53</v>
      </c>
      <c r="C58" s="8"/>
      <c r="D58" s="8"/>
      <c r="E58" s="48">
        <f>E54-E45</f>
        <v>2075</v>
      </c>
      <c r="F58" s="48">
        <f>F54-F45</f>
        <v>875</v>
      </c>
      <c r="G58" s="48">
        <f>G54-G45</f>
        <v>2950</v>
      </c>
    </row>
    <row r="59" spans="2:7" ht="12.75">
      <c r="B59" s="25" t="s">
        <v>54</v>
      </c>
      <c r="C59" s="8"/>
      <c r="D59" s="8"/>
      <c r="E59" s="50">
        <f>E30</f>
        <v>2000</v>
      </c>
      <c r="F59" s="50">
        <f>F30</f>
        <v>1000</v>
      </c>
      <c r="G59" s="50">
        <f>G30</f>
        <v>3000</v>
      </c>
    </row>
    <row r="60" spans="2:7" ht="12.75">
      <c r="B60" s="25" t="s">
        <v>55</v>
      </c>
      <c r="C60" s="8"/>
      <c r="D60" s="8"/>
      <c r="E60" s="20">
        <f>IF(ISERROR(E59/E58),0,E59/E58)</f>
        <v>0.963855421686747</v>
      </c>
      <c r="F60" s="20">
        <f>IF(ISERROR(F59/F58),0,F59/F58)</f>
        <v>1.1428571428571428</v>
      </c>
      <c r="G60" s="20">
        <f>IF(ISERROR(G59/G58),0,G59/G58)</f>
        <v>1.0169491525423728</v>
      </c>
    </row>
    <row r="61" spans="2:7" ht="12.75">
      <c r="B61" s="25" t="s">
        <v>80</v>
      </c>
      <c r="C61" s="8"/>
      <c r="D61" s="8"/>
      <c r="E61" s="32">
        <f>IF(ISERROR(E58/E59),0,E58/E59)</f>
        <v>1.0375</v>
      </c>
      <c r="F61" s="32">
        <f>IF(ISERROR(F58/F59),0,F58/F59)</f>
        <v>0.875</v>
      </c>
      <c r="G61" s="32">
        <f>IF(ISERROR(G58/G59),0,G58/G59)</f>
        <v>0.9833333333333333</v>
      </c>
    </row>
    <row r="62" spans="2:7" ht="12.75">
      <c r="B62" s="25" t="s">
        <v>81</v>
      </c>
      <c r="C62" s="8"/>
      <c r="D62" s="8"/>
      <c r="E62" s="32">
        <f>IF(ISERROR(RATE($D$5,E58,-E59)),E61,RATE($D$5,E58,-E59))</f>
        <v>0.0375000000000028</v>
      </c>
      <c r="F62" s="32">
        <f>IF(ISERROR(RATE($D$5,F58,-F59)),F61,RATE($D$5,F58,-F59))</f>
        <v>-0.12499999999999997</v>
      </c>
      <c r="G62" s="32">
        <f>IF(ISERROR(RATE($D$5,G58,-G59)),G61,RATE($D$5,G58,-G59))</f>
        <v>-0.016666666666665705</v>
      </c>
    </row>
    <row r="63" spans="2:7" ht="12.75">
      <c r="B63" s="25" t="s">
        <v>79</v>
      </c>
      <c r="C63" s="8"/>
      <c r="D63" s="8"/>
      <c r="E63" s="60">
        <f>ROUND(PV($D$4,$D$5,-E58)-E59,-3)</f>
        <v>0</v>
      </c>
      <c r="F63" s="60">
        <f>ROUND(PV($D$4,$D$5,-F58)-F59,-3)</f>
        <v>0</v>
      </c>
      <c r="G63" s="60">
        <f>ROUND(PV($D$4,$D$5,-G58)-G59,-3)</f>
        <v>0</v>
      </c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1:7" ht="13.5" thickBot="1">
      <c r="A66" s="26" t="s">
        <v>70</v>
      </c>
      <c r="B66" s="27" t="s">
        <v>60</v>
      </c>
      <c r="C66" s="30"/>
      <c r="D66" s="30"/>
      <c r="E66" s="44" t="str">
        <f>E57</f>
        <v>HALF TRIATHALON</v>
      </c>
      <c r="F66" s="44" t="str">
        <f>F57</f>
        <v>FISHING DERBY</v>
      </c>
      <c r="G66" s="47" t="str">
        <f>G57</f>
        <v>TOTAL</v>
      </c>
    </row>
    <row r="67" spans="2:7" ht="12.75">
      <c r="B67" s="25" t="s">
        <v>74</v>
      </c>
      <c r="C67" s="8"/>
      <c r="D67" s="8"/>
      <c r="E67" s="48">
        <f>PMT($D$4,$D$5,-E30)+E45</f>
        <v>3180.999999999998</v>
      </c>
      <c r="F67" s="48">
        <f>PMT($D$4,$D$5,-F30)+F45</f>
        <v>3052.999999999999</v>
      </c>
      <c r="G67" s="48">
        <f>PMT($D$4,$D$5,-G30)+G45</f>
        <v>6233.999999999997</v>
      </c>
    </row>
    <row r="68" spans="2:7" ht="12.75">
      <c r="B68" s="25" t="s">
        <v>73</v>
      </c>
      <c r="E68" s="53">
        <f>IF(ISERROR(E67/(E53*E52*E50)),0,E67/(E53*E52*E50))</f>
        <v>9.088571428571424</v>
      </c>
      <c r="F68" s="53">
        <f>IF(ISERROR(F67/(F53*F52*F50)),0,F67/(F53*F52*F50))</f>
        <v>10.176666666666664</v>
      </c>
      <c r="G68" s="20"/>
    </row>
    <row r="69" spans="2:6" ht="12.75">
      <c r="B69" s="25" t="s">
        <v>71</v>
      </c>
      <c r="E69" s="31">
        <f>IF(ISERROR((E67+E45)/(E50*E51*E53)),0,E67/(E50*E51*E53))</f>
        <v>31.80999999999998</v>
      </c>
      <c r="F69" s="31">
        <f>IF(ISERROR((F67+F45)/(F50*F51*F53)),0,F67/(F50*F51*F53))</f>
        <v>40.706666666666656</v>
      </c>
    </row>
    <row r="70" spans="2:6" ht="12.75">
      <c r="B70" s="25" t="s">
        <v>72</v>
      </c>
      <c r="E70" s="51">
        <f>IF(ISERROR(E67/(E52*E51*E50)),0,E67/(E52*E51*E50))</f>
        <v>4.544285714285712</v>
      </c>
      <c r="F70" s="51">
        <f>IF(ISERROR(F67/(F52*F51*F50)),0,F67/(F52*F51*F50))</f>
        <v>3.3922222222222214</v>
      </c>
    </row>
  </sheetData>
  <sheetProtection sheet="1" objects="1" scenarios="1" formatCells="0" formatColumns="0" formatRows="0" insertColumns="0" insertRows="0" insertHyperlinks="0" deleteColumns="0" deleteRows="0"/>
  <protectedRanges>
    <protectedRange sqref="A1:G2" name="Title"/>
    <protectedRange sqref="A6:G20" name="Breakdown by Facility"/>
    <protectedRange sqref="D22:D23 D25 D27:D28" name="Construction Percentages"/>
    <protectedRange sqref="D38 D44 E34:F36 E40:F43" name="Operating Costs"/>
    <protectedRange sqref="E50:F53" name="Revenue"/>
  </protectedRanges>
  <mergeCells count="3">
    <mergeCell ref="E5:G5"/>
    <mergeCell ref="A1:G1"/>
    <mergeCell ref="A2:G2"/>
  </mergeCells>
  <printOptions/>
  <pageMargins left="0.75" right="0.75" top="1" bottom="1" header="0.5" footer="0.5"/>
  <pageSetup firstPageNumber="22" useFirstPageNumber="1"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U69"/>
  <sheetViews>
    <sheetView workbookViewId="0" topLeftCell="A1">
      <selection activeCell="A1" sqref="A1:F1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20.57421875" style="0" customWidth="1"/>
    <col min="4" max="4" width="5.421875" style="0" customWidth="1"/>
    <col min="5" max="5" width="19.28125" style="0" bestFit="1" customWidth="1"/>
    <col min="6" max="6" width="12.00390625" style="0" bestFit="1" customWidth="1"/>
  </cols>
  <sheetData>
    <row r="1" spans="1:6" ht="15.75">
      <c r="A1" s="108" t="s">
        <v>171</v>
      </c>
      <c r="B1" s="108"/>
      <c r="C1" s="108"/>
      <c r="D1" s="108"/>
      <c r="E1" s="108"/>
      <c r="F1" s="108"/>
    </row>
    <row r="2" spans="1:6" ht="15">
      <c r="A2" s="109" t="s">
        <v>38</v>
      </c>
      <c r="B2" s="109"/>
      <c r="C2" s="109"/>
      <c r="D2" s="109"/>
      <c r="E2" s="109"/>
      <c r="F2" s="109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7" t="s">
        <v>78</v>
      </c>
      <c r="D4" s="3">
        <v>0.028</v>
      </c>
      <c r="E4" s="1"/>
    </row>
    <row r="5" spans="1:6" ht="13.5" thickBot="1">
      <c r="A5" s="26" t="s">
        <v>4</v>
      </c>
      <c r="B5" s="26" t="s">
        <v>59</v>
      </c>
      <c r="C5" s="56" t="s">
        <v>0</v>
      </c>
      <c r="D5" s="29">
        <v>1</v>
      </c>
      <c r="E5" s="107" t="s">
        <v>56</v>
      </c>
      <c r="F5" s="107"/>
    </row>
    <row r="6" spans="1:6" ht="12.75">
      <c r="A6" s="1"/>
      <c r="B6" s="2" t="s">
        <v>1</v>
      </c>
      <c r="C6" s="2" t="s">
        <v>3</v>
      </c>
      <c r="D6" s="2" t="s">
        <v>2</v>
      </c>
      <c r="E6" s="23" t="s">
        <v>116</v>
      </c>
      <c r="F6" s="46" t="s">
        <v>42</v>
      </c>
    </row>
    <row r="7" spans="1:6" ht="12.75">
      <c r="A7" s="1">
        <v>1</v>
      </c>
      <c r="B7" s="7" t="s">
        <v>106</v>
      </c>
      <c r="C7" s="13">
        <v>25</v>
      </c>
      <c r="D7" s="7" t="s">
        <v>6</v>
      </c>
      <c r="E7" s="21">
        <v>25</v>
      </c>
      <c r="F7" s="35">
        <f aca="true" t="shared" si="0" ref="F7:F20">SUM(E7:E7)*C7</f>
        <v>625</v>
      </c>
    </row>
    <row r="8" spans="1:6" ht="12.75">
      <c r="A8" s="1">
        <v>2</v>
      </c>
      <c r="B8" s="7" t="s">
        <v>107</v>
      </c>
      <c r="C8" s="13">
        <v>50</v>
      </c>
      <c r="D8" s="7" t="s">
        <v>6</v>
      </c>
      <c r="E8" s="21"/>
      <c r="F8" s="36">
        <f t="shared" si="0"/>
        <v>0</v>
      </c>
    </row>
    <row r="9" spans="1:6" ht="12.75">
      <c r="A9" s="1">
        <v>3</v>
      </c>
      <c r="B9" s="7" t="s">
        <v>108</v>
      </c>
      <c r="C9" s="13">
        <v>35</v>
      </c>
      <c r="D9" s="7" t="s">
        <v>6</v>
      </c>
      <c r="E9" s="21">
        <v>25</v>
      </c>
      <c r="F9" s="36">
        <f t="shared" si="0"/>
        <v>875</v>
      </c>
    </row>
    <row r="10" spans="1:6" ht="12.75">
      <c r="A10" s="9">
        <v>4</v>
      </c>
      <c r="B10" s="7" t="s">
        <v>109</v>
      </c>
      <c r="C10" s="13">
        <v>16</v>
      </c>
      <c r="D10" s="7" t="s">
        <v>6</v>
      </c>
      <c r="E10" s="21"/>
      <c r="F10" s="36">
        <f t="shared" si="0"/>
        <v>0</v>
      </c>
    </row>
    <row r="11" spans="1:6" ht="12.75">
      <c r="A11" s="1">
        <v>5</v>
      </c>
      <c r="B11" s="7" t="s">
        <v>110</v>
      </c>
      <c r="C11" s="13">
        <v>1.5</v>
      </c>
      <c r="D11" s="7" t="s">
        <v>6</v>
      </c>
      <c r="E11" s="21"/>
      <c r="F11" s="36">
        <f t="shared" si="0"/>
        <v>0</v>
      </c>
    </row>
    <row r="12" spans="1:6" ht="12.75">
      <c r="A12" s="9">
        <v>6</v>
      </c>
      <c r="B12" s="7" t="s">
        <v>111</v>
      </c>
      <c r="C12" s="13">
        <v>400</v>
      </c>
      <c r="D12" s="7" t="s">
        <v>6</v>
      </c>
      <c r="E12" s="21">
        <v>2</v>
      </c>
      <c r="F12" s="36">
        <f t="shared" si="0"/>
        <v>800</v>
      </c>
    </row>
    <row r="13" spans="1:6" ht="12.75">
      <c r="A13" s="10">
        <v>7</v>
      </c>
      <c r="B13" s="7" t="s">
        <v>112</v>
      </c>
      <c r="C13" s="13">
        <v>800</v>
      </c>
      <c r="D13" s="7" t="s">
        <v>6</v>
      </c>
      <c r="E13" s="21"/>
      <c r="F13" s="36">
        <f t="shared" si="0"/>
        <v>0</v>
      </c>
    </row>
    <row r="14" spans="1:6" ht="12.75">
      <c r="A14" s="1">
        <v>8</v>
      </c>
      <c r="B14" s="7" t="s">
        <v>113</v>
      </c>
      <c r="C14" s="13">
        <v>700</v>
      </c>
      <c r="D14" s="7" t="s">
        <v>6</v>
      </c>
      <c r="E14" s="21">
        <v>2</v>
      </c>
      <c r="F14" s="36">
        <f t="shared" si="0"/>
        <v>1400</v>
      </c>
    </row>
    <row r="15" spans="1:6" ht="12.75">
      <c r="A15" s="1">
        <v>9</v>
      </c>
      <c r="B15" s="7" t="s">
        <v>114</v>
      </c>
      <c r="C15" s="13">
        <v>300</v>
      </c>
      <c r="D15" s="7" t="s">
        <v>6</v>
      </c>
      <c r="E15" s="21"/>
      <c r="F15" s="36">
        <f t="shared" si="0"/>
        <v>0</v>
      </c>
    </row>
    <row r="16" spans="1:6" ht="12.75">
      <c r="A16" s="1">
        <v>10</v>
      </c>
      <c r="B16" s="7" t="s">
        <v>115</v>
      </c>
      <c r="C16" s="13">
        <v>500</v>
      </c>
      <c r="D16" s="7" t="s">
        <v>6</v>
      </c>
      <c r="E16" s="21"/>
      <c r="F16" s="36">
        <f t="shared" si="0"/>
        <v>0</v>
      </c>
    </row>
    <row r="17" spans="1:6" ht="12.75">
      <c r="A17" s="9">
        <v>11</v>
      </c>
      <c r="B17" s="7"/>
      <c r="C17" s="13"/>
      <c r="D17" s="7"/>
      <c r="E17" s="21"/>
      <c r="F17" s="36">
        <f t="shared" si="0"/>
        <v>0</v>
      </c>
    </row>
    <row r="18" spans="1:229" ht="12.75">
      <c r="A18" s="10">
        <v>12</v>
      </c>
      <c r="B18" s="7"/>
      <c r="C18" s="13"/>
      <c r="D18" s="7"/>
      <c r="E18" s="21"/>
      <c r="F18" s="36">
        <f t="shared" si="0"/>
        <v>0</v>
      </c>
      <c r="G18" s="4"/>
      <c r="H18" s="6"/>
      <c r="I18" s="4"/>
      <c r="J18" s="10"/>
      <c r="K18" s="7"/>
      <c r="L18" s="7"/>
      <c r="M18" s="14"/>
      <c r="N18" s="13"/>
      <c r="O18" s="4"/>
      <c r="P18" s="6"/>
      <c r="Q18" s="4"/>
      <c r="R18" s="10"/>
      <c r="S18" s="7"/>
      <c r="T18" s="7"/>
      <c r="U18" s="14"/>
      <c r="V18" s="13"/>
      <c r="W18" s="4"/>
      <c r="X18" s="6"/>
      <c r="Y18" s="4"/>
      <c r="Z18" s="10"/>
      <c r="AA18" s="7"/>
      <c r="AB18" s="7"/>
      <c r="AC18" s="14"/>
      <c r="AD18" s="13"/>
      <c r="AE18" s="4"/>
      <c r="AF18" s="6"/>
      <c r="AG18" s="4"/>
      <c r="AH18" s="10"/>
      <c r="AI18" s="7"/>
      <c r="AJ18" s="7"/>
      <c r="AK18" s="14"/>
      <c r="AL18" s="13"/>
      <c r="AM18" s="4"/>
      <c r="AN18" s="6"/>
      <c r="AO18" s="4"/>
      <c r="AP18" s="10"/>
      <c r="AQ18" s="7"/>
      <c r="AR18" s="7"/>
      <c r="AS18" s="14"/>
      <c r="AT18" s="13"/>
      <c r="AU18" s="4"/>
      <c r="AV18" s="6"/>
      <c r="AW18" s="4"/>
      <c r="AX18" s="10"/>
      <c r="AY18" s="7"/>
      <c r="AZ18" s="7"/>
      <c r="BA18" s="14"/>
      <c r="BB18" s="13"/>
      <c r="BC18" s="4"/>
      <c r="BD18" s="6"/>
      <c r="BE18" s="4"/>
      <c r="BF18" s="10"/>
      <c r="BG18" s="7"/>
      <c r="BH18" s="7"/>
      <c r="BI18" s="14"/>
      <c r="BJ18" s="13"/>
      <c r="BK18" s="4"/>
      <c r="BL18" s="6"/>
      <c r="BM18" s="4"/>
      <c r="BN18" s="10"/>
      <c r="BO18" s="7"/>
      <c r="BP18" s="7"/>
      <c r="BQ18" s="14"/>
      <c r="BR18" s="13"/>
      <c r="BS18" s="4"/>
      <c r="BT18" s="6"/>
      <c r="BU18" s="4"/>
      <c r="BV18" s="10"/>
      <c r="BW18" s="7"/>
      <c r="BX18" s="7"/>
      <c r="BY18" s="14"/>
      <c r="BZ18" s="13"/>
      <c r="CA18" s="4"/>
      <c r="CB18" s="6"/>
      <c r="CC18" s="4"/>
      <c r="CD18" s="10"/>
      <c r="CE18" s="7"/>
      <c r="CF18" s="7"/>
      <c r="CG18" s="14"/>
      <c r="CH18" s="13"/>
      <c r="CI18" s="4"/>
      <c r="CJ18" s="6"/>
      <c r="CK18" s="4"/>
      <c r="CL18" s="10"/>
      <c r="CM18" s="7"/>
      <c r="CN18" s="7"/>
      <c r="CO18" s="14"/>
      <c r="CP18" s="13"/>
      <c r="CQ18" s="4"/>
      <c r="CR18" s="6"/>
      <c r="CS18" s="4"/>
      <c r="CT18" s="10"/>
      <c r="CU18" s="7"/>
      <c r="CV18" s="7"/>
      <c r="CW18" s="14"/>
      <c r="CX18" s="13"/>
      <c r="CY18" s="4"/>
      <c r="CZ18" s="6"/>
      <c r="DA18" s="4"/>
      <c r="DB18" s="10"/>
      <c r="DC18" s="7"/>
      <c r="DD18" s="7"/>
      <c r="DE18" s="14"/>
      <c r="DF18" s="13"/>
      <c r="DG18" s="4"/>
      <c r="DH18" s="6"/>
      <c r="DI18" s="4"/>
      <c r="DJ18" s="10"/>
      <c r="DK18" s="7"/>
      <c r="DL18" s="7"/>
      <c r="DM18" s="14"/>
      <c r="DN18" s="13"/>
      <c r="DO18" s="4"/>
      <c r="DP18" s="6"/>
      <c r="DQ18" s="4"/>
      <c r="DR18" s="10"/>
      <c r="DS18" s="7"/>
      <c r="DT18" s="7"/>
      <c r="DU18" s="14"/>
      <c r="DV18" s="13"/>
      <c r="DW18" s="4"/>
      <c r="DX18" s="6"/>
      <c r="DY18" s="4"/>
      <c r="DZ18" s="10"/>
      <c r="EA18" s="7"/>
      <c r="EB18" s="7"/>
      <c r="EC18" s="14"/>
      <c r="ED18" s="13"/>
      <c r="EE18" s="4"/>
      <c r="EF18" s="6"/>
      <c r="EG18" s="4"/>
      <c r="EH18" s="10"/>
      <c r="EI18" s="7"/>
      <c r="EJ18" s="7"/>
      <c r="EK18" s="14"/>
      <c r="EL18" s="13"/>
      <c r="EM18" s="4"/>
      <c r="EN18" s="6"/>
      <c r="EO18" s="4"/>
      <c r="EP18" s="10"/>
      <c r="EQ18" s="7"/>
      <c r="ER18" s="7"/>
      <c r="ES18" s="14"/>
      <c r="ET18" s="13"/>
      <c r="EU18" s="4"/>
      <c r="EV18" s="6"/>
      <c r="EW18" s="4"/>
      <c r="EX18" s="10"/>
      <c r="EY18" s="7"/>
      <c r="EZ18" s="7"/>
      <c r="FA18" s="14"/>
      <c r="FB18" s="13"/>
      <c r="FC18" s="4"/>
      <c r="FD18" s="6"/>
      <c r="FE18" s="4"/>
      <c r="FF18" s="10"/>
      <c r="FG18" s="7"/>
      <c r="FH18" s="7"/>
      <c r="FI18" s="14"/>
      <c r="FJ18" s="13"/>
      <c r="FK18" s="4"/>
      <c r="FL18" s="6"/>
      <c r="FM18" s="4"/>
      <c r="FN18" s="10"/>
      <c r="FO18" s="7"/>
      <c r="FP18" s="7"/>
      <c r="FQ18" s="14"/>
      <c r="FR18" s="13"/>
      <c r="FS18" s="4"/>
      <c r="FT18" s="6"/>
      <c r="FU18" s="4"/>
      <c r="FV18" s="10"/>
      <c r="FW18" s="7"/>
      <c r="FX18" s="7"/>
      <c r="FY18" s="14"/>
      <c r="FZ18" s="13"/>
      <c r="GA18" s="4"/>
      <c r="GB18" s="6"/>
      <c r="GC18" s="4"/>
      <c r="GD18" s="10"/>
      <c r="GE18" s="7"/>
      <c r="GF18" s="7"/>
      <c r="GG18" s="14"/>
      <c r="GH18" s="13"/>
      <c r="GI18" s="4"/>
      <c r="GJ18" s="6"/>
      <c r="GK18" s="4"/>
      <c r="GL18" s="10"/>
      <c r="GM18" s="7"/>
      <c r="GN18" s="7"/>
      <c r="GO18" s="14"/>
      <c r="GP18" s="13"/>
      <c r="GQ18" s="4"/>
      <c r="GR18" s="6"/>
      <c r="GS18" s="4"/>
      <c r="GT18" s="10"/>
      <c r="GU18" s="7"/>
      <c r="GV18" s="7"/>
      <c r="GW18" s="14"/>
      <c r="GX18" s="13"/>
      <c r="GY18" s="4"/>
      <c r="GZ18" s="6"/>
      <c r="HA18" s="4"/>
      <c r="HB18" s="10"/>
      <c r="HC18" s="7"/>
      <c r="HD18" s="7"/>
      <c r="HE18" s="14"/>
      <c r="HF18" s="13"/>
      <c r="HG18" s="4"/>
      <c r="HH18" s="6"/>
      <c r="HI18" s="4"/>
      <c r="HJ18" s="10"/>
      <c r="HK18" s="7"/>
      <c r="HL18" s="7"/>
      <c r="HM18" s="14"/>
      <c r="HN18" s="13"/>
      <c r="HO18" s="4"/>
      <c r="HP18" s="6"/>
      <c r="HQ18" s="4"/>
      <c r="HR18" s="10"/>
      <c r="HS18" s="7"/>
      <c r="HT18" s="7"/>
      <c r="HU18" s="14"/>
    </row>
    <row r="19" spans="1:229" ht="12.75">
      <c r="A19" s="10">
        <v>13</v>
      </c>
      <c r="B19" s="7"/>
      <c r="C19" s="13"/>
      <c r="D19" s="7"/>
      <c r="E19" s="21"/>
      <c r="F19" s="36">
        <f t="shared" si="0"/>
        <v>0</v>
      </c>
      <c r="G19" s="4"/>
      <c r="H19" s="6"/>
      <c r="I19" s="4"/>
      <c r="J19" s="10"/>
      <c r="K19" s="7"/>
      <c r="L19" s="7"/>
      <c r="M19" s="14"/>
      <c r="N19" s="13"/>
      <c r="O19" s="4"/>
      <c r="P19" s="6"/>
      <c r="Q19" s="4"/>
      <c r="R19" s="10"/>
      <c r="S19" s="7"/>
      <c r="T19" s="7"/>
      <c r="U19" s="14"/>
      <c r="V19" s="13"/>
      <c r="W19" s="4"/>
      <c r="X19" s="6"/>
      <c r="Y19" s="4"/>
      <c r="Z19" s="10"/>
      <c r="AA19" s="7"/>
      <c r="AB19" s="7"/>
      <c r="AC19" s="14"/>
      <c r="AD19" s="13"/>
      <c r="AE19" s="4"/>
      <c r="AF19" s="6"/>
      <c r="AG19" s="4"/>
      <c r="AH19" s="10"/>
      <c r="AI19" s="7"/>
      <c r="AJ19" s="7"/>
      <c r="AK19" s="14"/>
      <c r="AL19" s="13"/>
      <c r="AM19" s="4"/>
      <c r="AN19" s="6"/>
      <c r="AO19" s="4"/>
      <c r="AP19" s="10"/>
      <c r="AQ19" s="7"/>
      <c r="AR19" s="7"/>
      <c r="AS19" s="14"/>
      <c r="AT19" s="13"/>
      <c r="AU19" s="4"/>
      <c r="AV19" s="6"/>
      <c r="AW19" s="4"/>
      <c r="AX19" s="10"/>
      <c r="AY19" s="7"/>
      <c r="AZ19" s="7"/>
      <c r="BA19" s="14"/>
      <c r="BB19" s="13"/>
      <c r="BC19" s="4"/>
      <c r="BD19" s="6"/>
      <c r="BE19" s="4"/>
      <c r="BF19" s="10"/>
      <c r="BG19" s="7"/>
      <c r="BH19" s="7"/>
      <c r="BI19" s="14"/>
      <c r="BJ19" s="13"/>
      <c r="BK19" s="4"/>
      <c r="BL19" s="6"/>
      <c r="BM19" s="4"/>
      <c r="BN19" s="10"/>
      <c r="BO19" s="7"/>
      <c r="BP19" s="7"/>
      <c r="BQ19" s="14"/>
      <c r="BR19" s="13"/>
      <c r="BS19" s="4"/>
      <c r="BT19" s="6"/>
      <c r="BU19" s="4"/>
      <c r="BV19" s="10"/>
      <c r="BW19" s="7"/>
      <c r="BX19" s="7"/>
      <c r="BY19" s="14"/>
      <c r="BZ19" s="13"/>
      <c r="CA19" s="4"/>
      <c r="CB19" s="6"/>
      <c r="CC19" s="4"/>
      <c r="CD19" s="10"/>
      <c r="CE19" s="7"/>
      <c r="CF19" s="7"/>
      <c r="CG19" s="14"/>
      <c r="CH19" s="13"/>
      <c r="CI19" s="4"/>
      <c r="CJ19" s="6"/>
      <c r="CK19" s="4"/>
      <c r="CL19" s="10"/>
      <c r="CM19" s="7"/>
      <c r="CN19" s="7"/>
      <c r="CO19" s="14"/>
      <c r="CP19" s="13"/>
      <c r="CQ19" s="4"/>
      <c r="CR19" s="6"/>
      <c r="CS19" s="4"/>
      <c r="CT19" s="10"/>
      <c r="CU19" s="7"/>
      <c r="CV19" s="7"/>
      <c r="CW19" s="14"/>
      <c r="CX19" s="13"/>
      <c r="CY19" s="4"/>
      <c r="CZ19" s="6"/>
      <c r="DA19" s="4"/>
      <c r="DB19" s="10"/>
      <c r="DC19" s="7"/>
      <c r="DD19" s="7"/>
      <c r="DE19" s="14"/>
      <c r="DF19" s="13"/>
      <c r="DG19" s="4"/>
      <c r="DH19" s="6"/>
      <c r="DI19" s="4"/>
      <c r="DJ19" s="10"/>
      <c r="DK19" s="7"/>
      <c r="DL19" s="7"/>
      <c r="DM19" s="14"/>
      <c r="DN19" s="13"/>
      <c r="DO19" s="4"/>
      <c r="DP19" s="6"/>
      <c r="DQ19" s="4"/>
      <c r="DR19" s="10"/>
      <c r="DS19" s="7"/>
      <c r="DT19" s="7"/>
      <c r="DU19" s="14"/>
      <c r="DV19" s="13"/>
      <c r="DW19" s="4"/>
      <c r="DX19" s="6"/>
      <c r="DY19" s="4"/>
      <c r="DZ19" s="10"/>
      <c r="EA19" s="7"/>
      <c r="EB19" s="7"/>
      <c r="EC19" s="14"/>
      <c r="ED19" s="13"/>
      <c r="EE19" s="4"/>
      <c r="EF19" s="6"/>
      <c r="EG19" s="4"/>
      <c r="EH19" s="10"/>
      <c r="EI19" s="7"/>
      <c r="EJ19" s="7"/>
      <c r="EK19" s="14"/>
      <c r="EL19" s="13"/>
      <c r="EM19" s="4"/>
      <c r="EN19" s="6"/>
      <c r="EO19" s="4"/>
      <c r="EP19" s="10"/>
      <c r="EQ19" s="7"/>
      <c r="ER19" s="7"/>
      <c r="ES19" s="14"/>
      <c r="ET19" s="13"/>
      <c r="EU19" s="4"/>
      <c r="EV19" s="6"/>
      <c r="EW19" s="4"/>
      <c r="EX19" s="10"/>
      <c r="EY19" s="7"/>
      <c r="EZ19" s="7"/>
      <c r="FA19" s="14"/>
      <c r="FB19" s="13"/>
      <c r="FC19" s="4"/>
      <c r="FD19" s="6"/>
      <c r="FE19" s="4"/>
      <c r="FF19" s="10"/>
      <c r="FG19" s="7"/>
      <c r="FH19" s="7"/>
      <c r="FI19" s="14"/>
      <c r="FJ19" s="13"/>
      <c r="FK19" s="4"/>
      <c r="FL19" s="6"/>
      <c r="FM19" s="4"/>
      <c r="FN19" s="10"/>
      <c r="FO19" s="7"/>
      <c r="FP19" s="7"/>
      <c r="FQ19" s="14"/>
      <c r="FR19" s="13"/>
      <c r="FS19" s="4"/>
      <c r="FT19" s="6"/>
      <c r="FU19" s="4"/>
      <c r="FV19" s="10"/>
      <c r="FW19" s="7"/>
      <c r="FX19" s="7"/>
      <c r="FY19" s="14"/>
      <c r="FZ19" s="13"/>
      <c r="GA19" s="4"/>
      <c r="GB19" s="6"/>
      <c r="GC19" s="4"/>
      <c r="GD19" s="10"/>
      <c r="GE19" s="7"/>
      <c r="GF19" s="7"/>
      <c r="GG19" s="14"/>
      <c r="GH19" s="13"/>
      <c r="GI19" s="4"/>
      <c r="GJ19" s="6"/>
      <c r="GK19" s="4"/>
      <c r="GL19" s="10"/>
      <c r="GM19" s="7"/>
      <c r="GN19" s="7"/>
      <c r="GO19" s="14"/>
      <c r="GP19" s="13"/>
      <c r="GQ19" s="4"/>
      <c r="GR19" s="6"/>
      <c r="GS19" s="4"/>
      <c r="GT19" s="10"/>
      <c r="GU19" s="7"/>
      <c r="GV19" s="7"/>
      <c r="GW19" s="14"/>
      <c r="GX19" s="13"/>
      <c r="GY19" s="4"/>
      <c r="GZ19" s="6"/>
      <c r="HA19" s="4"/>
      <c r="HB19" s="10"/>
      <c r="HC19" s="7"/>
      <c r="HD19" s="7"/>
      <c r="HE19" s="14"/>
      <c r="HF19" s="13"/>
      <c r="HG19" s="4"/>
      <c r="HH19" s="6"/>
      <c r="HI19" s="4"/>
      <c r="HJ19" s="10"/>
      <c r="HK19" s="7"/>
      <c r="HL19" s="7"/>
      <c r="HM19" s="14"/>
      <c r="HN19" s="13"/>
      <c r="HO19" s="4"/>
      <c r="HP19" s="6"/>
      <c r="HQ19" s="4"/>
      <c r="HR19" s="10"/>
      <c r="HS19" s="7"/>
      <c r="HT19" s="7"/>
      <c r="HU19" s="14"/>
    </row>
    <row r="20" spans="1:6" ht="12.75">
      <c r="A20" s="9"/>
      <c r="B20" s="7"/>
      <c r="C20" s="4"/>
      <c r="D20" s="7"/>
      <c r="E20" s="1"/>
      <c r="F20" s="36">
        <f t="shared" si="0"/>
        <v>0</v>
      </c>
    </row>
    <row r="21" spans="1:6" ht="12.75">
      <c r="A21" s="9"/>
      <c r="B21" s="7"/>
      <c r="C21" s="19" t="s">
        <v>7</v>
      </c>
      <c r="D21" s="7"/>
      <c r="E21" s="59">
        <f>SUMPRODUCT($C$7:$C$19,E7:E19)</f>
        <v>3700</v>
      </c>
      <c r="F21" s="59">
        <f aca="true" t="shared" si="1" ref="F21:F28">SUM(E21:E21)</f>
        <v>3700</v>
      </c>
    </row>
    <row r="22" spans="1:6" ht="12.75">
      <c r="A22" s="9"/>
      <c r="C22" s="54" t="s">
        <v>117</v>
      </c>
      <c r="D22" s="11">
        <v>0.05</v>
      </c>
      <c r="E22" s="36">
        <f>$D$22*E21</f>
        <v>185</v>
      </c>
      <c r="F22" s="36">
        <f t="shared" si="1"/>
        <v>185</v>
      </c>
    </row>
    <row r="23" spans="1:6" ht="12.75">
      <c r="A23" s="9"/>
      <c r="C23" s="54" t="s">
        <v>12</v>
      </c>
      <c r="D23" s="11">
        <v>0.1</v>
      </c>
      <c r="E23" s="36">
        <f>E21*$D$23</f>
        <v>370</v>
      </c>
      <c r="F23" s="36">
        <f t="shared" si="1"/>
        <v>370</v>
      </c>
    </row>
    <row r="24" spans="1:6" ht="12.75">
      <c r="A24" s="9"/>
      <c r="B24" s="54"/>
      <c r="C24" s="18" t="s">
        <v>13</v>
      </c>
      <c r="D24" s="11"/>
      <c r="E24" s="59">
        <f>SUM(E21:E23)</f>
        <v>4255</v>
      </c>
      <c r="F24" s="59">
        <f t="shared" si="1"/>
        <v>4255</v>
      </c>
    </row>
    <row r="25" spans="1:6" ht="12.75">
      <c r="A25" s="9"/>
      <c r="C25" s="54" t="s">
        <v>118</v>
      </c>
      <c r="D25" s="11">
        <v>0.2</v>
      </c>
      <c r="E25" s="36">
        <f>$D$25*E$24</f>
        <v>851</v>
      </c>
      <c r="F25" s="36">
        <f t="shared" si="1"/>
        <v>851</v>
      </c>
    </row>
    <row r="26" spans="1:6" ht="12.75">
      <c r="A26" s="1"/>
      <c r="B26" s="55"/>
      <c r="C26" s="19" t="s">
        <v>119</v>
      </c>
      <c r="D26" s="1"/>
      <c r="E26" s="59">
        <f>ROUND(SUM(E24:E25),-2)</f>
        <v>5100</v>
      </c>
      <c r="F26" s="59">
        <f t="shared" si="1"/>
        <v>5100</v>
      </c>
    </row>
    <row r="27" spans="1:6" ht="12.75">
      <c r="A27" s="1"/>
      <c r="C27" s="54" t="s">
        <v>120</v>
      </c>
      <c r="D27" s="11">
        <v>0.06</v>
      </c>
      <c r="E27" s="36">
        <f>$D$27*E$26</f>
        <v>306</v>
      </c>
      <c r="F27" s="36">
        <f t="shared" si="1"/>
        <v>306</v>
      </c>
    </row>
    <row r="28" spans="1:6" ht="12.75">
      <c r="A28" s="1"/>
      <c r="C28" s="54" t="s">
        <v>121</v>
      </c>
      <c r="D28" s="11">
        <v>0.06</v>
      </c>
      <c r="E28" s="36">
        <f>$D$28*E$26</f>
        <v>306</v>
      </c>
      <c r="F28" s="36">
        <f t="shared" si="1"/>
        <v>306</v>
      </c>
    </row>
    <row r="29" spans="1:6" ht="12.75">
      <c r="A29" s="1"/>
      <c r="B29" s="1"/>
      <c r="C29" s="5"/>
      <c r="D29" s="1"/>
      <c r="E29" s="1"/>
      <c r="F29" s="4"/>
    </row>
    <row r="30" spans="1:6" ht="13.5" thickBot="1">
      <c r="A30" s="1"/>
      <c r="B30" s="1"/>
      <c r="C30" s="19" t="s">
        <v>8</v>
      </c>
      <c r="D30" s="1"/>
      <c r="E30" s="57">
        <f>ROUND(SUM(E26:E29),-3)</f>
        <v>6000</v>
      </c>
      <c r="F30" s="57">
        <f>SUM(E30:E30)</f>
        <v>6000</v>
      </c>
    </row>
    <row r="31" spans="1:6" ht="13.5" thickTop="1">
      <c r="A31" s="1"/>
      <c r="B31" s="1"/>
      <c r="C31" s="19"/>
      <c r="D31" s="1"/>
      <c r="E31" s="15"/>
      <c r="F31" s="15"/>
    </row>
    <row r="32" spans="1:6" ht="12.75">
      <c r="A32" s="1"/>
      <c r="B32" s="1"/>
      <c r="C32" s="4"/>
      <c r="D32" s="1"/>
      <c r="E32" s="1"/>
      <c r="F32" s="4"/>
    </row>
    <row r="33" spans="1:6" ht="13.5" thickBot="1">
      <c r="A33" s="26" t="s">
        <v>9</v>
      </c>
      <c r="B33" s="27" t="s">
        <v>57</v>
      </c>
      <c r="C33" s="28"/>
      <c r="D33" s="29"/>
      <c r="E33" s="44" t="str">
        <f>E6</f>
        <v>STARVATION STATE PARK</v>
      </c>
      <c r="F33" s="44" t="str">
        <f>F6</f>
        <v>TOTAL</v>
      </c>
    </row>
    <row r="34" spans="1:6" ht="12.75">
      <c r="A34" s="16"/>
      <c r="B34" s="25" t="s">
        <v>62</v>
      </c>
      <c r="C34" s="4"/>
      <c r="D34" s="1"/>
      <c r="E34" s="7"/>
      <c r="F34" s="4"/>
    </row>
    <row r="35" spans="1:6" ht="12.75">
      <c r="A35" s="16"/>
      <c r="B35" s="25" t="s">
        <v>63</v>
      </c>
      <c r="C35" s="4"/>
      <c r="D35" s="1"/>
      <c r="E35" s="7"/>
      <c r="F35" s="12"/>
    </row>
    <row r="36" spans="2:6" ht="12.75">
      <c r="B36" s="25" t="s">
        <v>43</v>
      </c>
      <c r="C36" s="8"/>
      <c r="D36" s="8"/>
      <c r="E36" s="8"/>
      <c r="F36" s="8"/>
    </row>
    <row r="37" spans="2:6" ht="12.75">
      <c r="B37" s="25" t="s">
        <v>44</v>
      </c>
      <c r="C37" s="8"/>
      <c r="D37" s="8"/>
      <c r="E37" s="43"/>
      <c r="F37" s="43"/>
    </row>
    <row r="38" spans="2:6" ht="12.75">
      <c r="B38" s="25" t="s">
        <v>45</v>
      </c>
      <c r="C38" s="8"/>
      <c r="D38" s="8"/>
      <c r="E38" s="37">
        <f>E36*E37</f>
        <v>0</v>
      </c>
      <c r="F38" s="37">
        <f>SUM(E38:E38)</f>
        <v>0</v>
      </c>
    </row>
    <row r="39" spans="2:6" ht="12.75">
      <c r="B39" s="25" t="s">
        <v>46</v>
      </c>
      <c r="C39" s="8"/>
      <c r="D39" s="33">
        <v>0.075</v>
      </c>
      <c r="E39" s="38">
        <f>ROUND(E38*$D$39,-2)</f>
        <v>0</v>
      </c>
      <c r="F39" s="38">
        <f>SUM(D39:E39)</f>
        <v>0.075</v>
      </c>
    </row>
    <row r="40" spans="2:6" ht="12.75">
      <c r="B40" s="25" t="s">
        <v>47</v>
      </c>
      <c r="C40" s="8"/>
      <c r="D40" s="8"/>
      <c r="E40" s="42">
        <f>SUM(E38:E39)</f>
        <v>0</v>
      </c>
      <c r="F40" s="42">
        <f aca="true" t="shared" si="2" ref="F40:F45">SUM(E40:E40)</f>
        <v>0</v>
      </c>
    </row>
    <row r="41" spans="2:6" ht="12.75">
      <c r="B41" s="25" t="s">
        <v>48</v>
      </c>
      <c r="C41" s="8"/>
      <c r="D41" s="8"/>
      <c r="E41" s="39"/>
      <c r="F41" s="39">
        <f t="shared" si="2"/>
        <v>0</v>
      </c>
    </row>
    <row r="42" spans="2:6" ht="12.75">
      <c r="B42" s="25" t="s">
        <v>49</v>
      </c>
      <c r="C42" s="8"/>
      <c r="D42" s="8"/>
      <c r="E42" s="39"/>
      <c r="F42" s="39">
        <f t="shared" si="2"/>
        <v>0</v>
      </c>
    </row>
    <row r="43" spans="2:6" ht="12.75">
      <c r="B43" s="25" t="s">
        <v>50</v>
      </c>
      <c r="C43" s="8"/>
      <c r="D43" s="8"/>
      <c r="E43" s="40"/>
      <c r="F43" s="39">
        <f t="shared" si="2"/>
        <v>0</v>
      </c>
    </row>
    <row r="44" spans="2:6" ht="12.75">
      <c r="B44" s="25" t="s">
        <v>61</v>
      </c>
      <c r="C44" s="8"/>
      <c r="D44" s="33">
        <v>0.2</v>
      </c>
      <c r="E44" s="41">
        <f>ROUND(SUM(E40:E43)*$D$44,-2)</f>
        <v>0</v>
      </c>
      <c r="F44" s="41">
        <f t="shared" si="2"/>
        <v>0</v>
      </c>
    </row>
    <row r="45" spans="2:6" ht="13.5" thickBot="1">
      <c r="B45" s="34" t="s">
        <v>51</v>
      </c>
      <c r="C45" s="8"/>
      <c r="D45" s="8"/>
      <c r="E45" s="58">
        <f>SUM(E40:E44)</f>
        <v>0</v>
      </c>
      <c r="F45" s="58">
        <f t="shared" si="2"/>
        <v>0</v>
      </c>
    </row>
    <row r="46" spans="2:6" ht="13.5" thickTop="1">
      <c r="B46" s="7"/>
      <c r="C46" s="8"/>
      <c r="D46" s="8"/>
      <c r="E46" s="8"/>
      <c r="F46" s="12"/>
    </row>
    <row r="47" spans="2:6" ht="12.75">
      <c r="B47" s="7"/>
      <c r="C47" s="8"/>
      <c r="D47" s="8"/>
      <c r="E47" s="8"/>
      <c r="F47" s="12"/>
    </row>
    <row r="48" spans="1:6" ht="13.5" thickBot="1">
      <c r="A48" s="26" t="s">
        <v>10</v>
      </c>
      <c r="B48" s="27" t="s">
        <v>58</v>
      </c>
      <c r="C48" s="30"/>
      <c r="D48" s="30"/>
      <c r="E48" s="44" t="str">
        <f>E33</f>
        <v>STARVATION STATE PARK</v>
      </c>
      <c r="F48" s="47" t="str">
        <f>F33</f>
        <v>TOTAL</v>
      </c>
    </row>
    <row r="49" spans="1:6" ht="12.75">
      <c r="A49" s="16"/>
      <c r="B49" s="25" t="s">
        <v>62</v>
      </c>
      <c r="C49" s="7"/>
      <c r="D49" s="7"/>
      <c r="E49" s="7"/>
      <c r="F49" s="12"/>
    </row>
    <row r="50" spans="1:6" ht="12.75">
      <c r="A50" s="16"/>
      <c r="B50" s="25" t="s">
        <v>64</v>
      </c>
      <c r="C50" s="7"/>
      <c r="D50" s="7"/>
      <c r="E50" s="7"/>
      <c r="F50" s="12"/>
    </row>
    <row r="51" spans="2:6" ht="12.75">
      <c r="B51" s="25" t="s">
        <v>65</v>
      </c>
      <c r="C51" s="8"/>
      <c r="D51" s="8"/>
      <c r="E51" s="31"/>
      <c r="F51" s="12"/>
    </row>
    <row r="52" spans="2:6" ht="12.75">
      <c r="B52" s="25" t="s">
        <v>66</v>
      </c>
      <c r="C52" s="8"/>
      <c r="D52" s="8"/>
      <c r="E52" s="24"/>
      <c r="F52" s="24"/>
    </row>
    <row r="53" spans="2:6" ht="13.5" thickBot="1">
      <c r="B53" s="34" t="s">
        <v>52</v>
      </c>
      <c r="C53" s="8"/>
      <c r="D53" s="8"/>
      <c r="E53" s="49">
        <f>E49*E50*E51*E52</f>
        <v>0</v>
      </c>
      <c r="F53" s="49">
        <f>SUM(E53:E53)</f>
        <v>0</v>
      </c>
    </row>
    <row r="54" spans="2:6" ht="13.5" thickTop="1">
      <c r="B54" s="25"/>
      <c r="C54" s="8"/>
      <c r="D54" s="8"/>
      <c r="E54" s="8"/>
      <c r="F54" s="8"/>
    </row>
    <row r="55" spans="2:6" ht="12.75">
      <c r="B55" s="25"/>
      <c r="C55" s="8"/>
      <c r="D55" s="8"/>
      <c r="E55" s="8"/>
      <c r="F55" s="8"/>
    </row>
    <row r="56" spans="1:6" ht="13.5" thickBot="1">
      <c r="A56" s="26" t="s">
        <v>69</v>
      </c>
      <c r="B56" s="27" t="s">
        <v>68</v>
      </c>
      <c r="C56" s="30"/>
      <c r="D56" s="30"/>
      <c r="E56" s="44" t="str">
        <f>E48</f>
        <v>STARVATION STATE PARK</v>
      </c>
      <c r="F56" s="47" t="str">
        <f>F48</f>
        <v>TOTAL</v>
      </c>
    </row>
    <row r="57" spans="2:6" ht="12.75">
      <c r="B57" s="25" t="s">
        <v>53</v>
      </c>
      <c r="C57" s="8"/>
      <c r="D57" s="8"/>
      <c r="E57" s="48">
        <f>E53-E45</f>
        <v>0</v>
      </c>
      <c r="F57" s="48">
        <f>F53-F45</f>
        <v>0</v>
      </c>
    </row>
    <row r="58" spans="2:6" ht="12.75">
      <c r="B58" s="25" t="s">
        <v>54</v>
      </c>
      <c r="C58" s="8"/>
      <c r="D58" s="8"/>
      <c r="E58" s="50">
        <f>E30</f>
        <v>6000</v>
      </c>
      <c r="F58" s="50">
        <f>F30</f>
        <v>6000</v>
      </c>
    </row>
    <row r="59" spans="2:6" ht="12.75">
      <c r="B59" s="25" t="s">
        <v>55</v>
      </c>
      <c r="C59" s="8"/>
      <c r="D59" s="8"/>
      <c r="E59" s="20">
        <f>IF(ISERROR(E58/E57),0,E58/E57)</f>
        <v>0</v>
      </c>
      <c r="F59" s="20">
        <f>IF(ISERROR(F58/F57),0,F58/F57)</f>
        <v>0</v>
      </c>
    </row>
    <row r="60" spans="2:6" ht="12.75">
      <c r="B60" s="25" t="s">
        <v>80</v>
      </c>
      <c r="C60" s="8"/>
      <c r="D60" s="8"/>
      <c r="E60" s="32">
        <f>IF(ISERROR(E57/E58),0,E57/E58)</f>
        <v>0</v>
      </c>
      <c r="F60" s="32">
        <f>IF(ISERROR(F57/F58),0,F57/F58)</f>
        <v>0</v>
      </c>
    </row>
    <row r="61" spans="2:6" ht="12.75">
      <c r="B61" s="25" t="s">
        <v>81</v>
      </c>
      <c r="C61" s="8"/>
      <c r="D61" s="8"/>
      <c r="E61" s="32">
        <f>IF(ISERROR(RATE($D$5,E57,-E58)),E60,RATE($D$5,E57,-E58))</f>
        <v>0</v>
      </c>
      <c r="F61" s="32">
        <f>IF(ISERROR(RATE($D$5,F57,-F58)),F60,RATE($D$5,F57,-F58))</f>
        <v>0</v>
      </c>
    </row>
    <row r="62" spans="2:6" ht="12.75">
      <c r="B62" s="25" t="s">
        <v>79</v>
      </c>
      <c r="C62" s="8"/>
      <c r="D62" s="8"/>
      <c r="E62" s="60">
        <f>ROUND(PV($D$4,$D$5,-E57)-E58,-3)</f>
        <v>-6000</v>
      </c>
      <c r="F62" s="60">
        <f>ROUND(PV($D$4,$D$5,-F57)-F58,-3)</f>
        <v>-6000</v>
      </c>
    </row>
    <row r="63" spans="3:6" ht="12.75">
      <c r="C63" s="8"/>
      <c r="D63" s="8"/>
      <c r="E63" s="52"/>
      <c r="F63" s="8"/>
    </row>
    <row r="64" spans="3:6" ht="12.75">
      <c r="C64" s="8"/>
      <c r="D64" s="8"/>
      <c r="E64" s="52"/>
      <c r="F64" s="8"/>
    </row>
    <row r="65" spans="1:6" ht="13.5" thickBot="1">
      <c r="A65" s="26" t="s">
        <v>70</v>
      </c>
      <c r="B65" s="27" t="s">
        <v>60</v>
      </c>
      <c r="C65" s="30"/>
      <c r="D65" s="30"/>
      <c r="E65" s="44" t="str">
        <f>E56</f>
        <v>STARVATION STATE PARK</v>
      </c>
      <c r="F65" s="47" t="str">
        <f>F56</f>
        <v>TOTAL</v>
      </c>
    </row>
    <row r="66" spans="2:6" ht="12.75">
      <c r="B66" s="25" t="s">
        <v>74</v>
      </c>
      <c r="C66" s="8"/>
      <c r="D66" s="8"/>
      <c r="E66" s="48">
        <f>PMT($D$4,$D$5,-E30)+E45</f>
        <v>6167.9999999999945</v>
      </c>
      <c r="F66" s="48">
        <f>PMT($D$4,$D$5,-F30)+F45</f>
        <v>6167.9999999999945</v>
      </c>
    </row>
    <row r="67" spans="2:6" ht="12.75">
      <c r="B67" s="25" t="s">
        <v>73</v>
      </c>
      <c r="E67" s="53">
        <f>IF(ISERROR(E66/(E52*E51*E49)),0,E66/(E52*E51*E49))</f>
        <v>0</v>
      </c>
      <c r="F67" s="20"/>
    </row>
    <row r="68" spans="2:5" ht="12.75">
      <c r="B68" s="25" t="s">
        <v>71</v>
      </c>
      <c r="E68" s="31">
        <f>IF(ISERROR((E66+E45)/(E49*E50*E52)),0,E66/(E49*E50*E52))</f>
        <v>0</v>
      </c>
    </row>
    <row r="69" spans="2:5" ht="12.75">
      <c r="B69" s="25" t="s">
        <v>72</v>
      </c>
      <c r="E69" s="51">
        <f>IF(ISERROR(E66/(E51*E50*E49)),0,E66/(E51*E50*E49))</f>
        <v>0</v>
      </c>
    </row>
  </sheetData>
  <sheetProtection sheet="1" objects="1" scenarios="1" formatCells="0" formatColumns="0" formatRows="0" insertColumns="0" insertRows="0" insertHyperlinks="0" deleteColumns="0" deleteRows="0"/>
  <protectedRanges>
    <protectedRange sqref="A1:F2" name="Title"/>
    <protectedRange sqref="A6:F20" name="Breakdown by Facility"/>
    <protectedRange sqref="D22:D23 D25 D27:D28" name="Construction Percentages"/>
    <protectedRange sqref="D39 D44 E41:E43 E34:E37" name="Operating Costs"/>
    <protectedRange sqref="E49:E52" name="Revenue"/>
  </protectedRanges>
  <mergeCells count="3">
    <mergeCell ref="E5:F5"/>
    <mergeCell ref="A1:F1"/>
    <mergeCell ref="A2:F2"/>
  </mergeCells>
  <printOptions/>
  <pageMargins left="0.75" right="0.75" top="1" bottom="1" header="0.5" footer="0.5"/>
  <pageSetup firstPageNumber="22" useFirstPageNumber="1"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J24" sqref="J24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14.8515625" style="0" customWidth="1"/>
    <col min="4" max="4" width="6.28125" style="0" bestFit="1" customWidth="1"/>
    <col min="5" max="5" width="13.28125" style="0" bestFit="1" customWidth="1"/>
    <col min="6" max="6" width="16.7109375" style="0" customWidth="1"/>
    <col min="7" max="7" width="19.8515625" style="0" bestFit="1" customWidth="1"/>
    <col min="8" max="8" width="13.140625" style="0" bestFit="1" customWidth="1"/>
    <col min="9" max="9" width="12.140625" style="0" customWidth="1"/>
  </cols>
  <sheetData>
    <row r="1" spans="1:9" ht="15.75">
      <c r="A1" s="108" t="s">
        <v>172</v>
      </c>
      <c r="B1" s="108"/>
      <c r="C1" s="108"/>
      <c r="D1" s="108"/>
      <c r="E1" s="108"/>
      <c r="F1" s="108"/>
      <c r="G1" s="108"/>
      <c r="H1" s="108"/>
      <c r="I1" s="108"/>
    </row>
    <row r="2" spans="1:9" ht="15">
      <c r="A2" s="109" t="s">
        <v>38</v>
      </c>
      <c r="B2" s="109"/>
      <c r="C2" s="109"/>
      <c r="D2" s="109"/>
      <c r="E2" s="109"/>
      <c r="F2" s="109"/>
      <c r="G2" s="109"/>
      <c r="H2" s="109"/>
      <c r="I2" s="109"/>
    </row>
    <row r="3" spans="1:4" ht="12.75">
      <c r="A3" s="1"/>
      <c r="B3" s="1"/>
      <c r="C3" s="1"/>
      <c r="D3" s="1"/>
    </row>
    <row r="4" spans="1:4" ht="12.75">
      <c r="A4" s="1"/>
      <c r="B4" s="1"/>
      <c r="C4" s="17" t="s">
        <v>78</v>
      </c>
      <c r="D4" s="3">
        <v>0.028</v>
      </c>
    </row>
    <row r="5" spans="1:10" ht="13.5" thickBot="1">
      <c r="A5" s="26" t="s">
        <v>4</v>
      </c>
      <c r="B5" s="26" t="s">
        <v>59</v>
      </c>
      <c r="C5" s="56" t="s">
        <v>0</v>
      </c>
      <c r="D5" s="29">
        <v>1</v>
      </c>
      <c r="E5" s="107" t="s">
        <v>56</v>
      </c>
      <c r="F5" s="107"/>
      <c r="G5" s="107"/>
      <c r="H5" s="107"/>
      <c r="I5" s="107"/>
      <c r="J5" t="s">
        <v>144</v>
      </c>
    </row>
    <row r="6" spans="1:9" ht="12.75">
      <c r="A6" s="1"/>
      <c r="B6" s="2" t="s">
        <v>1</v>
      </c>
      <c r="C6" s="2" t="s">
        <v>3</v>
      </c>
      <c r="D6" s="2"/>
      <c r="E6" s="23" t="s">
        <v>143</v>
      </c>
      <c r="F6" s="23" t="s">
        <v>145</v>
      </c>
      <c r="G6" s="23" t="s">
        <v>146</v>
      </c>
      <c r="H6" s="23" t="s">
        <v>147</v>
      </c>
      <c r="I6" s="46" t="s">
        <v>42</v>
      </c>
    </row>
    <row r="7" spans="1:9" ht="12.75">
      <c r="A7" s="1">
        <v>1</v>
      </c>
      <c r="B7" s="7" t="s">
        <v>148</v>
      </c>
      <c r="C7" s="13">
        <v>500</v>
      </c>
      <c r="D7" s="7" t="s">
        <v>149</v>
      </c>
      <c r="E7" s="22"/>
      <c r="F7" s="22"/>
      <c r="G7" s="22"/>
      <c r="H7" s="22">
        <v>4</v>
      </c>
      <c r="I7" s="35">
        <f>SUM(E7:H7)*C7</f>
        <v>2000</v>
      </c>
    </row>
    <row r="8" spans="1:9" ht="12.75">
      <c r="A8" s="1">
        <v>2</v>
      </c>
      <c r="B8" s="7" t="s">
        <v>150</v>
      </c>
      <c r="C8" s="13">
        <v>700</v>
      </c>
      <c r="D8" s="7" t="s">
        <v>149</v>
      </c>
      <c r="E8" s="22"/>
      <c r="F8" s="22"/>
      <c r="G8" s="22"/>
      <c r="H8" s="22">
        <v>4</v>
      </c>
      <c r="I8" s="36">
        <f>SUM(E8:H8)*C8</f>
        <v>2800</v>
      </c>
    </row>
    <row r="9" spans="1:9" ht="12.75">
      <c r="A9" s="1">
        <v>3</v>
      </c>
      <c r="B9" s="7" t="s">
        <v>151</v>
      </c>
      <c r="C9" s="13">
        <v>700</v>
      </c>
      <c r="D9" s="7" t="s">
        <v>149</v>
      </c>
      <c r="E9" s="22"/>
      <c r="F9" s="22"/>
      <c r="G9" s="22"/>
      <c r="H9" s="22">
        <v>4</v>
      </c>
      <c r="I9" s="36">
        <f>SUM(E9:H9)*C9</f>
        <v>2800</v>
      </c>
    </row>
    <row r="10" spans="1:9" ht="12.75">
      <c r="A10" s="9">
        <v>4</v>
      </c>
      <c r="B10" s="7"/>
      <c r="C10" s="13"/>
      <c r="D10" s="7"/>
      <c r="E10" s="22"/>
      <c r="F10" s="22"/>
      <c r="G10" s="22"/>
      <c r="H10" s="22"/>
      <c r="I10" s="36">
        <f>SUM(E10:H10)*C10</f>
        <v>0</v>
      </c>
    </row>
    <row r="11" spans="1:9" ht="12.75">
      <c r="A11" s="9"/>
      <c r="B11" s="7"/>
      <c r="C11" s="19" t="s">
        <v>7</v>
      </c>
      <c r="D11" s="7"/>
      <c r="E11" s="59">
        <f>SUMPRODUCT($C$7:$C$10,E7:E10)</f>
        <v>0</v>
      </c>
      <c r="F11" s="59">
        <f>SUMPRODUCT($C$7:$C$10,F7:F10)</f>
        <v>0</v>
      </c>
      <c r="G11" s="59">
        <f>SUMPRODUCT($C$7:$C$10,G7:G10)</f>
        <v>0</v>
      </c>
      <c r="H11" s="59">
        <f>SUMPRODUCT($C$7:$C$10,H7:H10)</f>
        <v>7600</v>
      </c>
      <c r="I11" s="59">
        <f aca="true" t="shared" si="0" ref="I11:I18">SUM(E11:H11)</f>
        <v>7600</v>
      </c>
    </row>
    <row r="12" spans="1:9" ht="12.75">
      <c r="A12" s="9"/>
      <c r="C12" s="54" t="s">
        <v>117</v>
      </c>
      <c r="D12" s="11">
        <v>0.05</v>
      </c>
      <c r="E12" s="36">
        <f>$D$12*E11</f>
        <v>0</v>
      </c>
      <c r="F12" s="36">
        <f>$D$12*F11</f>
        <v>0</v>
      </c>
      <c r="G12" s="36">
        <f>$D$12*G11</f>
        <v>0</v>
      </c>
      <c r="H12" s="36">
        <f>$D$12*H11</f>
        <v>380</v>
      </c>
      <c r="I12" s="36">
        <f t="shared" si="0"/>
        <v>380</v>
      </c>
    </row>
    <row r="13" spans="1:9" ht="12.75">
      <c r="A13" s="9"/>
      <c r="C13" s="54" t="s">
        <v>12</v>
      </c>
      <c r="D13" s="11">
        <v>0.05</v>
      </c>
      <c r="E13" s="36">
        <f>E11*$D$13</f>
        <v>0</v>
      </c>
      <c r="F13" s="36">
        <f>F11*$D$13</f>
        <v>0</v>
      </c>
      <c r="G13" s="36">
        <f>G11*$D$13</f>
        <v>0</v>
      </c>
      <c r="H13" s="36">
        <f>H11*$D$13</f>
        <v>380</v>
      </c>
      <c r="I13" s="36">
        <f t="shared" si="0"/>
        <v>380</v>
      </c>
    </row>
    <row r="14" spans="1:9" ht="12.75">
      <c r="A14" s="9"/>
      <c r="B14" s="54"/>
      <c r="C14" s="18" t="s">
        <v>13</v>
      </c>
      <c r="D14" s="11"/>
      <c r="E14" s="59">
        <f>SUM(E11:E13)</f>
        <v>0</v>
      </c>
      <c r="F14" s="59">
        <f>SUM(F11:F13)</f>
        <v>0</v>
      </c>
      <c r="G14" s="59">
        <f>SUM(G11:G13)</f>
        <v>0</v>
      </c>
      <c r="H14" s="59">
        <f>SUM(H11:H13)</f>
        <v>8360</v>
      </c>
      <c r="I14" s="59">
        <f t="shared" si="0"/>
        <v>8360</v>
      </c>
    </row>
    <row r="15" spans="1:9" ht="12.75">
      <c r="A15" s="9"/>
      <c r="C15" s="54" t="s">
        <v>118</v>
      </c>
      <c r="D15" s="11">
        <v>0.1</v>
      </c>
      <c r="E15" s="36">
        <f>$D$15*E$14</f>
        <v>0</v>
      </c>
      <c r="F15" s="36">
        <f>$D$15*F$14</f>
        <v>0</v>
      </c>
      <c r="G15" s="36">
        <f>$D$15*G$14</f>
        <v>0</v>
      </c>
      <c r="H15" s="36">
        <f>$D$15*H$14</f>
        <v>836</v>
      </c>
      <c r="I15" s="36">
        <f t="shared" si="0"/>
        <v>836</v>
      </c>
    </row>
    <row r="16" spans="1:9" ht="12.75">
      <c r="A16" s="1"/>
      <c r="B16" s="55"/>
      <c r="C16" s="19" t="s">
        <v>119</v>
      </c>
      <c r="D16" s="1"/>
      <c r="E16" s="59">
        <f>ROUND(SUM(E14:E15),-2)</f>
        <v>0</v>
      </c>
      <c r="F16" s="59">
        <f>ROUND(SUM(F14:F15),-2)</f>
        <v>0</v>
      </c>
      <c r="G16" s="59">
        <f>ROUND(SUM(G14:G15),-2)</f>
        <v>0</v>
      </c>
      <c r="H16" s="59">
        <f>ROUND(SUM(H14:H15),-2)</f>
        <v>9200</v>
      </c>
      <c r="I16" s="59">
        <f t="shared" si="0"/>
        <v>9200</v>
      </c>
    </row>
    <row r="17" spans="1:9" ht="12.75">
      <c r="A17" s="1"/>
      <c r="C17" s="54" t="s">
        <v>120</v>
      </c>
      <c r="D17" s="11">
        <v>0.03</v>
      </c>
      <c r="E17" s="36">
        <f>$D$17*E$16</f>
        <v>0</v>
      </c>
      <c r="F17" s="36">
        <f>$D$17*F$16</f>
        <v>0</v>
      </c>
      <c r="G17" s="36">
        <f>$D$17*G$16</f>
        <v>0</v>
      </c>
      <c r="H17" s="36">
        <f>$D$17*H$16</f>
        <v>276</v>
      </c>
      <c r="I17" s="36">
        <f t="shared" si="0"/>
        <v>276</v>
      </c>
    </row>
    <row r="18" spans="1:9" ht="12.75">
      <c r="A18" s="1"/>
      <c r="C18" s="54" t="s">
        <v>142</v>
      </c>
      <c r="D18" s="11">
        <v>0.03</v>
      </c>
      <c r="E18" s="36">
        <f>$D$18*E$16</f>
        <v>0</v>
      </c>
      <c r="F18" s="36">
        <f>$D$18*F$16</f>
        <v>0</v>
      </c>
      <c r="G18" s="36">
        <f>$D$18*G$16</f>
        <v>0</v>
      </c>
      <c r="H18" s="36">
        <f>$D$18*H$16</f>
        <v>276</v>
      </c>
      <c r="I18" s="36">
        <f t="shared" si="0"/>
        <v>276</v>
      </c>
    </row>
    <row r="19" spans="1:9" ht="12.75">
      <c r="A19" s="1"/>
      <c r="B19" s="1"/>
      <c r="C19" s="5"/>
      <c r="D19" s="1"/>
      <c r="E19" s="1"/>
      <c r="F19" s="1"/>
      <c r="G19" s="1"/>
      <c r="H19" s="1"/>
      <c r="I19" s="4"/>
    </row>
    <row r="20" spans="1:9" ht="13.5" thickBot="1">
      <c r="A20" s="1"/>
      <c r="B20" s="1"/>
      <c r="C20" s="19" t="s">
        <v>8</v>
      </c>
      <c r="D20" s="1"/>
      <c r="E20" s="57">
        <f>ROUND(SUM(E16:E19),-3)</f>
        <v>0</v>
      </c>
      <c r="F20" s="57">
        <f>ROUND(SUM(F16:F19),-3)</f>
        <v>0</v>
      </c>
      <c r="G20" s="57">
        <f>ROUND(SUM(G16:G19),-3)</f>
        <v>0</v>
      </c>
      <c r="H20" s="57">
        <f>ROUND(SUM(H16:H19),-3)</f>
        <v>10000</v>
      </c>
      <c r="I20" s="57">
        <f>SUM(E20:H20)</f>
        <v>10000</v>
      </c>
    </row>
    <row r="21" spans="1:9" ht="13.5" thickTop="1">
      <c r="A21" s="1"/>
      <c r="B21" s="1"/>
      <c r="C21" s="19"/>
      <c r="D21" s="1"/>
      <c r="E21" s="15"/>
      <c r="F21" s="15"/>
      <c r="G21" s="15"/>
      <c r="H21" s="15"/>
      <c r="I21" s="15"/>
    </row>
    <row r="22" spans="1:9" ht="12.75">
      <c r="A22" s="1"/>
      <c r="B22" s="1"/>
      <c r="C22" s="4"/>
      <c r="D22" s="1"/>
      <c r="I22" s="4"/>
    </row>
    <row r="23" spans="1:9" ht="13.5" thickBot="1">
      <c r="A23" s="26" t="s">
        <v>9</v>
      </c>
      <c r="B23" s="27" t="s">
        <v>57</v>
      </c>
      <c r="C23" s="28"/>
      <c r="D23" s="29"/>
      <c r="E23" s="44" t="str">
        <f>E6</f>
        <v>ADMINISTRATION</v>
      </c>
      <c r="F23" s="44" t="str">
        <f>F6</f>
        <v>LAW ENFORCEMENT</v>
      </c>
      <c r="G23" s="44" t="str">
        <f>G6</f>
        <v>RESOURCE MANAGEMENT</v>
      </c>
      <c r="H23" s="44" t="str">
        <f>H6</f>
        <v>INTERPRETATION</v>
      </c>
      <c r="I23" s="44" t="str">
        <f>I6</f>
        <v>TOTAL</v>
      </c>
    </row>
    <row r="24" spans="2:9" ht="12.75">
      <c r="B24" s="25" t="s">
        <v>105</v>
      </c>
      <c r="C24" s="8"/>
      <c r="D24" s="8"/>
      <c r="E24" s="8">
        <v>1500</v>
      </c>
      <c r="F24" s="8">
        <v>1500</v>
      </c>
      <c r="G24" s="8">
        <v>1500</v>
      </c>
      <c r="H24" s="8"/>
      <c r="I24" s="50">
        <f>E24+F24+G24</f>
        <v>4500</v>
      </c>
    </row>
    <row r="25" spans="2:9" ht="12.75">
      <c r="B25" s="25" t="s">
        <v>44</v>
      </c>
      <c r="C25" s="8"/>
      <c r="D25" s="8"/>
      <c r="E25" s="43">
        <v>25</v>
      </c>
      <c r="F25" s="43">
        <v>25</v>
      </c>
      <c r="G25" s="43">
        <v>30</v>
      </c>
      <c r="H25" s="43"/>
      <c r="I25" s="43"/>
    </row>
    <row r="26" spans="2:9" ht="12.75">
      <c r="B26" s="25" t="s">
        <v>45</v>
      </c>
      <c r="C26" s="8"/>
      <c r="D26" s="8"/>
      <c r="E26" s="37">
        <f>E24*E25</f>
        <v>37500</v>
      </c>
      <c r="F26" s="37">
        <f>F24*F25</f>
        <v>37500</v>
      </c>
      <c r="G26" s="37">
        <f>G24*G25</f>
        <v>45000</v>
      </c>
      <c r="H26" s="37"/>
      <c r="I26" s="37">
        <f>SUM(E26:H26)</f>
        <v>120000</v>
      </c>
    </row>
    <row r="27" spans="2:9" ht="12.75">
      <c r="B27" s="25" t="s">
        <v>46</v>
      </c>
      <c r="C27" s="8"/>
      <c r="D27" s="33">
        <v>0.075</v>
      </c>
      <c r="E27" s="38">
        <f>ROUND(Administration!E26*Administration!D27,-2)</f>
        <v>2800</v>
      </c>
      <c r="F27" s="38">
        <f>ROUND(F26*D27,-2)</f>
        <v>2800</v>
      </c>
      <c r="G27" s="38">
        <f>ROUND(G26*D27,-2)</f>
        <v>3400</v>
      </c>
      <c r="H27" s="38">
        <f>ROUND(H26*D27,-2)</f>
        <v>0</v>
      </c>
      <c r="I27" s="38">
        <f>SUM(D27:H27)</f>
        <v>9000.075</v>
      </c>
    </row>
    <row r="28" spans="2:9" ht="12.75">
      <c r="B28" s="25" t="s">
        <v>47</v>
      </c>
      <c r="C28" s="8"/>
      <c r="D28" s="8"/>
      <c r="E28" s="42">
        <f>SUM(E26:E27)</f>
        <v>40300</v>
      </c>
      <c r="F28" s="42">
        <f>SUM(F26:F27)</f>
        <v>40300</v>
      </c>
      <c r="G28" s="42">
        <f>SUM(G26:G27)</f>
        <v>48400</v>
      </c>
      <c r="H28" s="42"/>
      <c r="I28" s="42">
        <f aca="true" t="shared" si="1" ref="I28:I34">SUM(E28:H28)</f>
        <v>129000</v>
      </c>
    </row>
    <row r="29" spans="2:9" ht="12.75">
      <c r="B29" s="25" t="s">
        <v>48</v>
      </c>
      <c r="C29" s="8"/>
      <c r="D29" s="8"/>
      <c r="E29" s="39">
        <v>800</v>
      </c>
      <c r="F29" s="39">
        <v>800</v>
      </c>
      <c r="G29" s="39">
        <v>700</v>
      </c>
      <c r="H29" s="39"/>
      <c r="I29" s="39">
        <f t="shared" si="1"/>
        <v>2300</v>
      </c>
    </row>
    <row r="30" spans="2:9" ht="12.75">
      <c r="B30" s="25" t="s">
        <v>49</v>
      </c>
      <c r="C30" s="8"/>
      <c r="D30" s="8"/>
      <c r="E30" s="39">
        <v>3980</v>
      </c>
      <c r="F30" s="39">
        <v>800</v>
      </c>
      <c r="G30" s="39">
        <v>1000</v>
      </c>
      <c r="H30" s="39"/>
      <c r="I30" s="39">
        <f t="shared" si="1"/>
        <v>5780</v>
      </c>
    </row>
    <row r="31" spans="2:9" ht="12.75">
      <c r="B31" s="25" t="s">
        <v>160</v>
      </c>
      <c r="C31" s="8"/>
      <c r="D31" s="8"/>
      <c r="E31" s="39"/>
      <c r="F31" s="39"/>
      <c r="G31" s="39"/>
      <c r="H31" s="39"/>
      <c r="I31" s="39"/>
    </row>
    <row r="32" spans="2:9" ht="12.75">
      <c r="B32" s="25" t="s">
        <v>50</v>
      </c>
      <c r="C32" s="8"/>
      <c r="D32" s="8"/>
      <c r="E32" s="40">
        <v>5000</v>
      </c>
      <c r="F32" s="40">
        <v>5000</v>
      </c>
      <c r="G32" s="40">
        <v>4000</v>
      </c>
      <c r="H32" s="40"/>
      <c r="I32" s="39">
        <f t="shared" si="1"/>
        <v>14000</v>
      </c>
    </row>
    <row r="33" spans="2:9" ht="12.75">
      <c r="B33" s="25" t="s">
        <v>61</v>
      </c>
      <c r="C33" s="8"/>
      <c r="D33" s="33">
        <v>0.2</v>
      </c>
      <c r="E33" s="41">
        <f>ROUND(SUM(E28:E32)*D33,-2)</f>
        <v>10000</v>
      </c>
      <c r="F33" s="41">
        <f>ROUND(SUM(F28:F32)*D33,-2)</f>
        <v>9400</v>
      </c>
      <c r="G33" s="41">
        <v>5900</v>
      </c>
      <c r="H33" s="41">
        <f>ROUND(SUM(H28:H32)*D33,-2)</f>
        <v>0</v>
      </c>
      <c r="I33" s="41">
        <f t="shared" si="1"/>
        <v>25300</v>
      </c>
    </row>
    <row r="34" spans="2:9" ht="13.5" thickBot="1">
      <c r="B34" s="34" t="s">
        <v>51</v>
      </c>
      <c r="C34" s="8"/>
      <c r="D34" s="8"/>
      <c r="E34" s="58">
        <f>SUM(E28:E33)</f>
        <v>60080</v>
      </c>
      <c r="F34" s="58">
        <f>SUM(F28:F33)</f>
        <v>56300</v>
      </c>
      <c r="G34" s="58">
        <f>SUM(G28:G33)</f>
        <v>60000</v>
      </c>
      <c r="H34" s="58">
        <f>SUM(H28:H33)</f>
        <v>0</v>
      </c>
      <c r="I34" s="58">
        <f t="shared" si="1"/>
        <v>176380</v>
      </c>
    </row>
    <row r="35" spans="2:9" ht="13.5" thickTop="1">
      <c r="B35" s="7"/>
      <c r="C35" s="8"/>
      <c r="D35" s="8"/>
      <c r="E35" s="8"/>
      <c r="F35" s="8"/>
      <c r="G35" s="8"/>
      <c r="H35" s="8"/>
      <c r="I35" s="12"/>
    </row>
    <row r="36" spans="2:9" ht="12.75">
      <c r="B36" s="7"/>
      <c r="C36" s="8"/>
      <c r="D36" s="8"/>
      <c r="E36" s="8"/>
      <c r="F36" s="8"/>
      <c r="G36" s="8"/>
      <c r="H36" s="8"/>
      <c r="I36" s="12"/>
    </row>
    <row r="37" spans="1:9" ht="13.5" thickBot="1">
      <c r="A37" s="26" t="s">
        <v>10</v>
      </c>
      <c r="B37" s="27" t="s">
        <v>162</v>
      </c>
      <c r="C37" s="30"/>
      <c r="D37" s="30"/>
      <c r="E37" s="44" t="str">
        <f>E23</f>
        <v>ADMINISTRATION</v>
      </c>
      <c r="F37" s="44" t="str">
        <f>F23</f>
        <v>LAW ENFORCEMENT</v>
      </c>
      <c r="G37" s="44" t="str">
        <f>G23</f>
        <v>RESOURCE MANAGEMENT</v>
      </c>
      <c r="H37" s="44" t="str">
        <f>H23</f>
        <v>INTERPRETATION</v>
      </c>
      <c r="I37" s="47" t="str">
        <f>I23</f>
        <v>TOTAL</v>
      </c>
    </row>
    <row r="38" spans="1:9" ht="12.75">
      <c r="A38" s="16"/>
      <c r="B38" s="63" t="s">
        <v>161</v>
      </c>
      <c r="C38" s="7"/>
      <c r="D38" s="7"/>
      <c r="E38" s="42">
        <v>60080</v>
      </c>
      <c r="F38" s="23"/>
      <c r="G38" s="23"/>
      <c r="H38" s="23"/>
      <c r="I38" s="46"/>
    </row>
    <row r="39" spans="1:9" ht="12.75">
      <c r="A39" s="16"/>
      <c r="B39" s="25" t="s">
        <v>137</v>
      </c>
      <c r="C39" s="7"/>
      <c r="D39" s="7"/>
      <c r="F39" s="42"/>
      <c r="G39" s="42">
        <v>30000</v>
      </c>
      <c r="H39" s="42"/>
      <c r="I39" s="42">
        <f>SUM(E39:H39)</f>
        <v>30000</v>
      </c>
    </row>
    <row r="40" spans="1:9" ht="12.75">
      <c r="A40" s="16"/>
      <c r="B40" s="25" t="s">
        <v>138</v>
      </c>
      <c r="C40" s="7"/>
      <c r="D40" s="7"/>
      <c r="E40" s="42"/>
      <c r="F40" s="42">
        <v>56300</v>
      </c>
      <c r="G40" s="42">
        <v>30000</v>
      </c>
      <c r="H40" s="42"/>
      <c r="I40" s="42">
        <f>SUM(E40:H40)</f>
        <v>86300</v>
      </c>
    </row>
    <row r="41" spans="1:9" ht="12.75">
      <c r="A41" s="16"/>
      <c r="B41" s="25" t="s">
        <v>139</v>
      </c>
      <c r="C41" s="7"/>
      <c r="D41" s="7"/>
      <c r="E41" s="42"/>
      <c r="F41" s="42"/>
      <c r="G41" s="42"/>
      <c r="H41" s="42">
        <v>5000</v>
      </c>
      <c r="I41" s="42">
        <f>SUM(E41:H41)</f>
        <v>5000</v>
      </c>
    </row>
    <row r="42" spans="2:9" ht="12.75">
      <c r="B42" s="25" t="s">
        <v>140</v>
      </c>
      <c r="C42" s="8"/>
      <c r="D42" s="8"/>
      <c r="E42" s="42"/>
      <c r="F42" s="42"/>
      <c r="G42" s="42"/>
      <c r="H42" s="42">
        <v>5000</v>
      </c>
      <c r="I42" s="42">
        <f>SUM(E42:H42)</f>
        <v>5000</v>
      </c>
    </row>
    <row r="43" spans="2:9" ht="12.75">
      <c r="B43" s="25" t="s">
        <v>141</v>
      </c>
      <c r="C43" s="8"/>
      <c r="D43" s="8"/>
      <c r="E43" s="42"/>
      <c r="F43" s="42"/>
      <c r="G43" s="42"/>
      <c r="H43" s="42"/>
      <c r="I43" s="42"/>
    </row>
    <row r="44" spans="2:9" ht="12.75">
      <c r="B44" s="25"/>
      <c r="C44" s="8"/>
      <c r="D44" s="8"/>
      <c r="E44" s="24"/>
      <c r="F44" s="24"/>
      <c r="G44" s="24"/>
      <c r="H44" s="24"/>
      <c r="I44" s="24"/>
    </row>
    <row r="45" spans="2:9" ht="13.5" thickBot="1">
      <c r="B45" s="34" t="s">
        <v>52</v>
      </c>
      <c r="C45" s="8"/>
      <c r="D45" s="8"/>
      <c r="E45" s="49">
        <f>SUM(E38:E44)</f>
        <v>60080</v>
      </c>
      <c r="F45" s="49">
        <f>SUM(F39:F44)</f>
        <v>56300</v>
      </c>
      <c r="G45" s="49">
        <f>SUM(G39:G44)</f>
        <v>60000</v>
      </c>
      <c r="H45" s="49">
        <f>SUM(H39:H44)</f>
        <v>10000</v>
      </c>
      <c r="I45" s="49">
        <f>SUM(E45:H45)</f>
        <v>186380</v>
      </c>
    </row>
    <row r="46" spans="2:9" ht="13.5" thickTop="1">
      <c r="B46" s="25"/>
      <c r="C46" s="8"/>
      <c r="D46" s="8"/>
      <c r="E46" s="8"/>
      <c r="F46" s="8"/>
      <c r="G46" s="8"/>
      <c r="H46" s="8"/>
      <c r="I46" s="8"/>
    </row>
    <row r="47" spans="2:9" ht="12.75">
      <c r="B47" s="25"/>
      <c r="C47" s="8"/>
      <c r="D47" s="8"/>
      <c r="E47" s="8"/>
      <c r="F47" s="8"/>
      <c r="G47" s="8"/>
      <c r="H47" s="8"/>
      <c r="I47" s="8"/>
    </row>
  </sheetData>
  <sheetProtection formatCells="0" formatColumns="0" formatRows="0" insertColumns="0" insertRows="0" insertHyperlinks="0" deleteColumns="0" deleteRows="0"/>
  <protectedRanges>
    <protectedRange sqref="A1:I2" name="Title"/>
    <protectedRange sqref="A6:I10" name="Breakdown by Facility"/>
    <protectedRange sqref="D12:D13 D15 D17:D18" name="Construction Percentages"/>
    <protectedRange sqref="D27 D33" name="Operating Costs"/>
    <protectedRange sqref="E40:H44" name="Revenue"/>
    <protectedRange sqref="E24:E25 E29:E32" name="Operating Costs_1"/>
    <protectedRange sqref="F24:F25 F29:F32" name="Operating Costs_2"/>
    <protectedRange sqref="G24:G25 G29:G32" name="Operating Costs_3"/>
    <protectedRange sqref="H24:H25 H29:H32" name="Operating Costs_4"/>
  </protectedRanges>
  <mergeCells count="3">
    <mergeCell ref="E5:I5"/>
    <mergeCell ref="A1:I1"/>
    <mergeCell ref="A2:I2"/>
  </mergeCells>
  <printOptions/>
  <pageMargins left="0.75" right="0.75" top="1" bottom="1" header="0.5" footer="0.5"/>
  <pageSetup firstPageNumber="22" useFirstPageNumber="1" horizontalDpi="600" verticalDpi="600" orientation="landscape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workbookViewId="0" topLeftCell="A1">
      <selection activeCell="J32" sqref="J32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14.8515625" style="0" customWidth="1"/>
    <col min="4" max="4" width="5.421875" style="0" customWidth="1"/>
    <col min="5" max="5" width="14.140625" style="0" bestFit="1" customWidth="1"/>
    <col min="6" max="6" width="9.421875" style="0" bestFit="1" customWidth="1"/>
    <col min="7" max="7" width="11.7109375" style="0" bestFit="1" customWidth="1"/>
    <col min="8" max="8" width="11.28125" style="0" bestFit="1" customWidth="1"/>
    <col min="9" max="9" width="13.28125" style="0" bestFit="1" customWidth="1"/>
    <col min="10" max="11" width="19.28125" style="0" bestFit="1" customWidth="1"/>
    <col min="12" max="12" width="13.28125" style="0" bestFit="1" customWidth="1"/>
    <col min="13" max="13" width="10.421875" style="0" bestFit="1" customWidth="1"/>
  </cols>
  <sheetData>
    <row r="1" spans="1:5" ht="15.75">
      <c r="A1" s="108" t="s">
        <v>173</v>
      </c>
      <c r="B1" s="108"/>
      <c r="C1" s="108"/>
      <c r="D1" s="108"/>
      <c r="E1" s="108"/>
    </row>
    <row r="2" spans="1:5" ht="15">
      <c r="A2" s="109" t="s">
        <v>16</v>
      </c>
      <c r="B2" s="109"/>
      <c r="C2" s="109"/>
      <c r="D2" s="109"/>
      <c r="E2" s="109"/>
    </row>
    <row r="3" spans="1:4" ht="12.75">
      <c r="A3" s="1"/>
      <c r="B3" s="1"/>
      <c r="C3" s="1"/>
      <c r="D3" s="1"/>
    </row>
    <row r="4" spans="1:4" ht="12.75">
      <c r="A4" s="1"/>
      <c r="B4" s="1"/>
      <c r="C4" s="17" t="s">
        <v>78</v>
      </c>
      <c r="D4" s="3">
        <v>0.028</v>
      </c>
    </row>
    <row r="5" spans="1:13" ht="13.5" thickBot="1">
      <c r="A5" s="26" t="s">
        <v>4</v>
      </c>
      <c r="B5" s="26" t="s">
        <v>59</v>
      </c>
      <c r="C5" s="56" t="s">
        <v>0</v>
      </c>
      <c r="D5" s="29">
        <v>30</v>
      </c>
      <c r="E5" s="47" t="s">
        <v>124</v>
      </c>
      <c r="F5" s="47" t="s">
        <v>123</v>
      </c>
      <c r="G5" s="47" t="s">
        <v>125</v>
      </c>
      <c r="H5" s="47" t="s">
        <v>126</v>
      </c>
      <c r="I5" s="47" t="s">
        <v>127</v>
      </c>
      <c r="J5" s="47" t="s">
        <v>158</v>
      </c>
      <c r="K5" s="47" t="s">
        <v>159</v>
      </c>
      <c r="L5" s="47" t="s">
        <v>130</v>
      </c>
      <c r="M5" s="47" t="s">
        <v>42</v>
      </c>
    </row>
    <row r="6" spans="1:13" ht="13.5" thickBot="1">
      <c r="A6" s="1"/>
      <c r="B6" s="1"/>
      <c r="C6" s="19" t="s">
        <v>8</v>
      </c>
      <c r="D6" s="1"/>
      <c r="E6" s="64">
        <f>'Mountain View 1'!I30</f>
        <v>3290000</v>
      </c>
      <c r="F6" s="64">
        <f>'Indian Bay'!H30</f>
        <v>579000</v>
      </c>
      <c r="G6" s="57">
        <f>'Rabbit Gulch'!G30</f>
        <v>434000</v>
      </c>
      <c r="H6" s="57">
        <f>'Juniper Point'!H30</f>
        <v>278000</v>
      </c>
      <c r="I6" s="57">
        <f>'Knight Hollow'!G30</f>
        <v>194000</v>
      </c>
      <c r="J6" s="57">
        <f>'Strawberry River Above'!F30</f>
        <v>38000</v>
      </c>
      <c r="K6" s="57">
        <f>'Strawberry River Below'!F30</f>
        <v>43000</v>
      </c>
      <c r="L6" s="57">
        <f>'Special Events'!G30</f>
        <v>3000</v>
      </c>
      <c r="M6" s="64">
        <f>SUM(E6:L6)</f>
        <v>4859000</v>
      </c>
    </row>
    <row r="7" spans="1:13" ht="13.5" thickTop="1">
      <c r="A7" s="1"/>
      <c r="B7" s="1"/>
      <c r="C7" s="4"/>
      <c r="D7" s="1"/>
      <c r="E7" s="4"/>
      <c r="F7" s="4"/>
      <c r="G7" s="35"/>
      <c r="H7" s="35"/>
      <c r="I7" s="35"/>
      <c r="J7" s="35"/>
      <c r="K7" s="35"/>
      <c r="L7" s="35"/>
      <c r="M7" s="35"/>
    </row>
    <row r="8" spans="1:13" ht="13.5" thickBot="1">
      <c r="A8" s="26" t="s">
        <v>9</v>
      </c>
      <c r="B8" s="27" t="s">
        <v>57</v>
      </c>
      <c r="C8" s="28"/>
      <c r="D8" s="29"/>
      <c r="E8" s="47"/>
      <c r="F8" s="47"/>
      <c r="G8" s="69"/>
      <c r="H8" s="69"/>
      <c r="I8" s="69"/>
      <c r="J8" s="69"/>
      <c r="K8" s="69"/>
      <c r="L8" s="69"/>
      <c r="M8" s="69">
        <f aca="true" t="shared" si="0" ref="M8:M18">SUM(E8:L8)</f>
        <v>0</v>
      </c>
    </row>
    <row r="9" spans="2:13" ht="12.75">
      <c r="B9" s="25" t="s">
        <v>47</v>
      </c>
      <c r="C9" s="8"/>
      <c r="D9" s="8"/>
      <c r="E9" s="65">
        <f>'Mountain View 1'!I40</f>
        <v>22050</v>
      </c>
      <c r="F9" s="65">
        <f>'Indian Bay'!H40</f>
        <v>14950</v>
      </c>
      <c r="G9" s="42">
        <f>'Rabbit Gulch'!G40</f>
        <v>12900</v>
      </c>
      <c r="H9" s="42">
        <f>'Juniper Point'!H40</f>
        <v>7250</v>
      </c>
      <c r="I9" s="42">
        <f>'Knight Hollow'!G40</f>
        <v>7025</v>
      </c>
      <c r="J9" s="42">
        <f>'Strawberry River Above'!F40</f>
        <v>775</v>
      </c>
      <c r="K9" s="42">
        <f>'Strawberry River Below'!F40</f>
        <v>1225</v>
      </c>
      <c r="L9" s="42">
        <f>'Special Events'!G39</f>
        <v>2075</v>
      </c>
      <c r="M9" s="42">
        <f t="shared" si="0"/>
        <v>68250</v>
      </c>
    </row>
    <row r="10" spans="2:13" ht="12.75">
      <c r="B10" s="25" t="s">
        <v>48</v>
      </c>
      <c r="C10" s="8"/>
      <c r="D10" s="8"/>
      <c r="E10" s="39">
        <f>'Mountain View 1'!I41</f>
        <v>1420</v>
      </c>
      <c r="F10" s="39">
        <f>'Indian Bay'!H41</f>
        <v>1200</v>
      </c>
      <c r="G10" s="39">
        <f>'Rabbit Gulch'!G41</f>
        <v>700</v>
      </c>
      <c r="H10" s="39">
        <f>'Juniper Point'!H41</f>
        <v>500</v>
      </c>
      <c r="I10" s="39">
        <f>'Knight Hollow'!G41</f>
        <v>450</v>
      </c>
      <c r="J10" s="39">
        <f>'Strawberry River Above'!F41</f>
        <v>200</v>
      </c>
      <c r="K10" s="39">
        <f>'Strawberry River Below'!F41</f>
        <v>200</v>
      </c>
      <c r="L10" s="39">
        <f>'Special Events'!G40</f>
        <v>300</v>
      </c>
      <c r="M10" s="39">
        <f t="shared" si="0"/>
        <v>4970</v>
      </c>
    </row>
    <row r="11" spans="2:13" ht="12.75">
      <c r="B11" s="25" t="s">
        <v>49</v>
      </c>
      <c r="C11" s="8"/>
      <c r="D11" s="8"/>
      <c r="E11" s="39">
        <f>'Mountain View 1'!I42</f>
        <v>10400</v>
      </c>
      <c r="F11" s="39">
        <f>'Indian Bay'!H42</f>
        <v>0</v>
      </c>
      <c r="G11" s="39">
        <f>'Rabbit Gulch'!G42</f>
        <v>0</v>
      </c>
      <c r="H11" s="39">
        <f>'Juniper Point'!H42</f>
        <v>0</v>
      </c>
      <c r="I11" s="39">
        <f>'Knight Hollow'!G42</f>
        <v>0</v>
      </c>
      <c r="J11" s="39">
        <f>'Strawberry River Above'!F42</f>
        <v>0</v>
      </c>
      <c r="K11" s="39">
        <f>'Strawberry River Below'!F42</f>
        <v>0</v>
      </c>
      <c r="L11" s="39">
        <f>'Special Events'!G41</f>
        <v>25</v>
      </c>
      <c r="M11" s="39">
        <f t="shared" si="0"/>
        <v>10425</v>
      </c>
    </row>
    <row r="12" spans="2:13" ht="12.75">
      <c r="B12" s="25" t="s">
        <v>160</v>
      </c>
      <c r="C12" s="8"/>
      <c r="D12" s="8"/>
      <c r="E12" s="39">
        <f>'Mountain View 1'!I43</f>
        <v>0</v>
      </c>
      <c r="F12" s="39">
        <f>'Indian Bay'!H43</f>
        <v>0</v>
      </c>
      <c r="G12" s="39">
        <f>'Rabbit Gulch'!G43</f>
        <v>0</v>
      </c>
      <c r="H12" s="39">
        <f>'Juniper Point'!H43</f>
        <v>0</v>
      </c>
      <c r="I12" s="39">
        <f>'Knight Hollow'!G43</f>
        <v>0</v>
      </c>
      <c r="J12" s="39">
        <f>'Strawberry River Above'!F43</f>
        <v>0</v>
      </c>
      <c r="K12" s="39">
        <f>'Strawberry River Below'!F43</f>
        <v>0</v>
      </c>
      <c r="L12" s="39">
        <f>'Special Events'!G42</f>
        <v>0</v>
      </c>
      <c r="M12" s="39">
        <f t="shared" si="0"/>
        <v>0</v>
      </c>
    </row>
    <row r="13" spans="2:13" ht="12.75">
      <c r="B13" s="25" t="s">
        <v>50</v>
      </c>
      <c r="C13" s="8"/>
      <c r="D13" s="8"/>
      <c r="E13" s="39">
        <f>'Mountain View 1'!I44</f>
        <v>0</v>
      </c>
      <c r="F13" s="39">
        <f>'Indian Bay'!H44</f>
        <v>0</v>
      </c>
      <c r="G13" s="39">
        <f>'Rabbit Gulch'!G44</f>
        <v>500</v>
      </c>
      <c r="H13" s="39">
        <f>'Juniper Point'!H44</f>
        <v>500</v>
      </c>
      <c r="I13" s="39">
        <f>'Knight Hollow'!G44</f>
        <v>500</v>
      </c>
      <c r="J13" s="39">
        <f>'Strawberry River Above'!F44</f>
        <v>250</v>
      </c>
      <c r="K13" s="39">
        <f>'Strawberry River Below'!F44</f>
        <v>250</v>
      </c>
      <c r="L13" s="39">
        <f>'Special Events'!G43</f>
        <v>250</v>
      </c>
      <c r="M13" s="39">
        <f t="shared" si="0"/>
        <v>2250</v>
      </c>
    </row>
    <row r="14" spans="2:13" ht="12.75">
      <c r="B14" s="25" t="s">
        <v>61</v>
      </c>
      <c r="C14" s="8"/>
      <c r="D14" s="33">
        <v>0.2</v>
      </c>
      <c r="E14" s="41">
        <f>'Mountain View 1'!I45</f>
        <v>6800</v>
      </c>
      <c r="F14" s="41">
        <f>'Indian Bay'!H45</f>
        <v>3200</v>
      </c>
      <c r="G14" s="41">
        <f>'Rabbit Gulch'!G45</f>
        <v>2900</v>
      </c>
      <c r="H14" s="41">
        <f>'Juniper Point'!H45</f>
        <v>1700</v>
      </c>
      <c r="I14" s="41">
        <f>'Knight Hollow'!G45</f>
        <v>1600</v>
      </c>
      <c r="J14" s="41">
        <f>'Strawberry River Above'!F45</f>
        <v>200</v>
      </c>
      <c r="K14" s="41">
        <f>'Strawberry River Below'!F45</f>
        <v>300</v>
      </c>
      <c r="L14" s="41">
        <f>'Special Events'!G44</f>
        <v>500</v>
      </c>
      <c r="M14" s="41">
        <f t="shared" si="0"/>
        <v>17200</v>
      </c>
    </row>
    <row r="15" spans="2:13" ht="13.5" thickBot="1">
      <c r="B15" s="34" t="s">
        <v>51</v>
      </c>
      <c r="C15" s="8"/>
      <c r="D15" s="8"/>
      <c r="E15" s="66">
        <f>'Mountain View 1'!I46</f>
        <v>40670</v>
      </c>
      <c r="F15" s="66">
        <f>'Indian Bay'!H46</f>
        <v>19350</v>
      </c>
      <c r="G15" s="58">
        <f>'Rabbit Gulch'!G46</f>
        <v>17000</v>
      </c>
      <c r="H15" s="58">
        <f>'Juniper Point'!H46</f>
        <v>9950</v>
      </c>
      <c r="I15" s="58">
        <f>'Knight Hollow'!G46</f>
        <v>9575</v>
      </c>
      <c r="J15" s="58">
        <f>'Strawberry River Above'!F46</f>
        <v>1425</v>
      </c>
      <c r="K15" s="58">
        <f>'Strawberry River Below'!F46</f>
        <v>1975</v>
      </c>
      <c r="L15" s="58">
        <f>'Special Events'!G45</f>
        <v>3150</v>
      </c>
      <c r="M15" s="58">
        <f t="shared" si="0"/>
        <v>103095</v>
      </c>
    </row>
    <row r="16" spans="2:13" ht="13.5" thickTop="1">
      <c r="B16" s="7"/>
      <c r="C16" s="8"/>
      <c r="D16" s="8"/>
      <c r="E16" s="12"/>
      <c r="F16" s="12"/>
      <c r="G16" s="70"/>
      <c r="H16" s="70"/>
      <c r="I16" s="70"/>
      <c r="J16" s="70"/>
      <c r="K16" s="70"/>
      <c r="L16" s="70"/>
      <c r="M16" s="70">
        <f t="shared" si="0"/>
        <v>0</v>
      </c>
    </row>
    <row r="17" spans="1:13" ht="13.5" thickBot="1">
      <c r="A17" s="26" t="s">
        <v>10</v>
      </c>
      <c r="B17" s="27" t="s">
        <v>58</v>
      </c>
      <c r="C17" s="30"/>
      <c r="D17" s="30"/>
      <c r="E17" s="47"/>
      <c r="F17" s="47"/>
      <c r="G17" s="69"/>
      <c r="H17" s="69"/>
      <c r="I17" s="69"/>
      <c r="J17" s="69"/>
      <c r="K17" s="69"/>
      <c r="L17" s="69"/>
      <c r="M17" s="69">
        <f t="shared" si="0"/>
        <v>0</v>
      </c>
    </row>
    <row r="18" spans="2:13" ht="13.5" thickBot="1">
      <c r="B18" s="34" t="s">
        <v>52</v>
      </c>
      <c r="C18" s="8"/>
      <c r="D18" s="8"/>
      <c r="E18" s="49">
        <f>'Mountain View 1'!I54</f>
        <v>138300</v>
      </c>
      <c r="F18" s="49">
        <f>'Indian Bay'!H54</f>
        <v>45660</v>
      </c>
      <c r="G18" s="49">
        <f>'Rabbit Gulch'!G54</f>
        <v>42300</v>
      </c>
      <c r="H18" s="49">
        <f>'Juniper Point'!H54</f>
        <v>26400</v>
      </c>
      <c r="I18" s="49">
        <f>'Knight Hollow'!G54</f>
        <v>20400</v>
      </c>
      <c r="J18" s="49">
        <f>'Strawberry River Above'!F54</f>
        <v>1260</v>
      </c>
      <c r="K18" s="49">
        <f>'Strawberry River Below'!F54</f>
        <v>2100</v>
      </c>
      <c r="L18" s="49">
        <f>'Special Events'!G54</f>
        <v>6100</v>
      </c>
      <c r="M18" s="49">
        <f t="shared" si="0"/>
        <v>282520</v>
      </c>
    </row>
    <row r="19" spans="2:13" ht="13.5" thickTop="1">
      <c r="B19" s="25"/>
      <c r="C19" s="8"/>
      <c r="D19" s="8"/>
      <c r="E19" s="65"/>
      <c r="F19" s="65"/>
      <c r="G19" s="42"/>
      <c r="H19" s="42"/>
      <c r="I19" s="42"/>
      <c r="J19" s="42"/>
      <c r="K19" s="42"/>
      <c r="L19" s="42"/>
      <c r="M19" s="42"/>
    </row>
    <row r="20" spans="1:13" ht="13.5" thickBot="1">
      <c r="A20" s="26" t="s">
        <v>69</v>
      </c>
      <c r="B20" s="27" t="s">
        <v>68</v>
      </c>
      <c r="C20" s="30"/>
      <c r="D20" s="30"/>
      <c r="E20" s="47"/>
      <c r="F20" s="47"/>
      <c r="G20" s="69"/>
      <c r="H20" s="69"/>
      <c r="I20" s="69"/>
      <c r="J20" s="69"/>
      <c r="K20" s="69"/>
      <c r="L20" s="69"/>
      <c r="M20" s="69">
        <f>SUM(E20:L20)</f>
        <v>0</v>
      </c>
    </row>
    <row r="21" spans="2:13" ht="12.75">
      <c r="B21" s="25" t="s">
        <v>53</v>
      </c>
      <c r="C21" s="8"/>
      <c r="D21" s="8"/>
      <c r="E21" s="48">
        <f>'Mountain View 1'!I58</f>
        <v>97630</v>
      </c>
      <c r="F21" s="48">
        <f>'Indian Bay'!H58</f>
        <v>26310</v>
      </c>
      <c r="G21" s="48">
        <f>'Rabbit Gulch'!G58</f>
        <v>25300</v>
      </c>
      <c r="H21" s="48">
        <f>'Juniper Point'!H58</f>
        <v>16450</v>
      </c>
      <c r="I21" s="48">
        <f>'Knight Hollow'!G58</f>
        <v>10825</v>
      </c>
      <c r="J21" s="48">
        <f>'Strawberry River Above'!F58</f>
        <v>-165</v>
      </c>
      <c r="K21" s="48">
        <f>'Strawberry River Below'!F58</f>
        <v>125</v>
      </c>
      <c r="L21" s="48">
        <f>'Special Events'!G58</f>
        <v>2950</v>
      </c>
      <c r="M21" s="48">
        <f>SUM(E21:L21)</f>
        <v>179425</v>
      </c>
    </row>
    <row r="22" spans="2:13" ht="12.75">
      <c r="B22" s="25" t="s">
        <v>54</v>
      </c>
      <c r="C22" s="8"/>
      <c r="D22" s="8"/>
      <c r="E22" s="65">
        <f>'Mountain View 1'!I59</f>
        <v>3290000</v>
      </c>
      <c r="F22" s="65">
        <f>'Indian Bay'!H59</f>
        <v>579000</v>
      </c>
      <c r="G22" s="42">
        <f>'Rabbit Gulch'!G59</f>
        <v>434000</v>
      </c>
      <c r="H22" s="42">
        <f>'Juniper Point'!H59</f>
        <v>278000</v>
      </c>
      <c r="I22" s="42">
        <f>'Knight Hollow'!G59</f>
        <v>194000</v>
      </c>
      <c r="J22" s="42">
        <f>'Strawberry River Above'!F59</f>
        <v>38000</v>
      </c>
      <c r="K22" s="42">
        <f>'Strawberry River Below'!F59</f>
        <v>43000</v>
      </c>
      <c r="L22" s="42">
        <f>'Special Events'!G59</f>
        <v>3000</v>
      </c>
      <c r="M22" s="42">
        <f>SUM(E22:L22)</f>
        <v>4859000</v>
      </c>
    </row>
    <row r="23" spans="2:13" ht="12.75">
      <c r="B23" s="25" t="s">
        <v>55</v>
      </c>
      <c r="C23" s="8"/>
      <c r="D23" s="8"/>
      <c r="E23" s="20">
        <f>'Mountain View 1'!I60</f>
        <v>33.69865819932398</v>
      </c>
      <c r="F23" s="20">
        <f>'Indian Bay'!H60</f>
        <v>22.006841505131128</v>
      </c>
      <c r="G23" s="20">
        <f>'Rabbit Gulch'!G60</f>
        <v>17.154150197628457</v>
      </c>
      <c r="H23" s="20">
        <f>'Juniper Point'!H60</f>
        <v>16.89969604863222</v>
      </c>
      <c r="I23" s="20">
        <f>'Knight Hollow'!G60</f>
        <v>17.92147806004619</v>
      </c>
      <c r="J23" s="20">
        <f>'Strawberry River Above'!F60</f>
        <v>-230.3030303030303</v>
      </c>
      <c r="K23" s="20">
        <f>'Strawberry River Below'!F60</f>
        <v>344</v>
      </c>
      <c r="L23" s="20">
        <f>'Special Events'!G60</f>
        <v>1.0169491525423728</v>
      </c>
      <c r="M23" s="20">
        <f>M22/M21</f>
        <v>27.08095304444754</v>
      </c>
    </row>
    <row r="24" spans="2:13" ht="12.75">
      <c r="B24" s="25" t="s">
        <v>79</v>
      </c>
      <c r="C24" s="8"/>
      <c r="D24" s="8"/>
      <c r="E24" s="67">
        <f>'Mountain View 1'!I63</f>
        <v>-1326000</v>
      </c>
      <c r="F24" s="67">
        <f>'Indian Bay'!H63</f>
        <v>-50000</v>
      </c>
      <c r="G24" s="60">
        <f>'Rabbit Gulch'!G63</f>
        <v>75000</v>
      </c>
      <c r="H24" s="60">
        <f>'Juniper Point'!H63</f>
        <v>53000</v>
      </c>
      <c r="I24" s="60">
        <f>'Knight Hollow'!G63</f>
        <v>24000</v>
      </c>
      <c r="J24" s="60">
        <f>'Strawberry River Above'!F63</f>
        <v>-41000</v>
      </c>
      <c r="K24" s="60">
        <f>'Strawberry River Below'!F63</f>
        <v>-40000</v>
      </c>
      <c r="L24" s="60">
        <f>'Special Events'!G63</f>
        <v>0</v>
      </c>
      <c r="M24" s="60">
        <f>SUM(E24:L24)</f>
        <v>-1305000</v>
      </c>
    </row>
    <row r="25" spans="3:13" ht="12.75">
      <c r="C25" s="8"/>
      <c r="D25" s="8"/>
      <c r="E25" s="65">
        <f>'Mountain View 1'!I64</f>
        <v>0</v>
      </c>
      <c r="F25" s="65">
        <f>'Indian Bay'!H64</f>
        <v>0</v>
      </c>
      <c r="G25" s="42">
        <f>'Rabbit Gulch'!G64</f>
        <v>0</v>
      </c>
      <c r="H25" s="42">
        <f>'Juniper Point'!H64</f>
        <v>0</v>
      </c>
      <c r="I25" s="42">
        <f>'Knight Hollow'!G64</f>
        <v>0</v>
      </c>
      <c r="J25" s="42">
        <f>'Strawberry River Above'!F64</f>
        <v>0</v>
      </c>
      <c r="K25" s="42">
        <f>'Strawberry River Below'!F64</f>
        <v>0</v>
      </c>
      <c r="L25" s="42">
        <f>'Special Events'!G64</f>
        <v>0</v>
      </c>
      <c r="M25" s="42">
        <f>SUM(E25:L25)</f>
        <v>0</v>
      </c>
    </row>
    <row r="26" spans="3:13" ht="12.75">
      <c r="C26" s="8"/>
      <c r="D26" s="8"/>
      <c r="E26" s="65">
        <f>'Mountain View 1'!I65</f>
        <v>0</v>
      </c>
      <c r="F26" s="65">
        <f>'Indian Bay'!H65</f>
        <v>0</v>
      </c>
      <c r="G26" s="42">
        <f>'Rabbit Gulch'!G65</f>
        <v>0</v>
      </c>
      <c r="H26" s="42">
        <f>'Juniper Point'!H65</f>
        <v>0</v>
      </c>
      <c r="I26" s="42">
        <f>'Knight Hollow'!G65</f>
        <v>0</v>
      </c>
      <c r="J26" s="42">
        <f>'Strawberry River Above'!F65</f>
        <v>0</v>
      </c>
      <c r="K26" s="42">
        <f>'Strawberry River Below'!F65</f>
        <v>0</v>
      </c>
      <c r="L26" s="42">
        <f>'Special Events'!G65</f>
        <v>0</v>
      </c>
      <c r="M26" s="42">
        <f>SUM(E26:L26)</f>
        <v>0</v>
      </c>
    </row>
    <row r="27" spans="1:13" ht="13.5" thickBot="1">
      <c r="A27" s="26" t="s">
        <v>70</v>
      </c>
      <c r="B27" s="27" t="s">
        <v>60</v>
      </c>
      <c r="C27" s="30"/>
      <c r="D27" s="30"/>
      <c r="E27" s="47"/>
      <c r="F27" s="47"/>
      <c r="G27" s="69"/>
      <c r="H27" s="69"/>
      <c r="I27" s="69"/>
      <c r="J27" s="69"/>
      <c r="K27" s="69"/>
      <c r="L27" s="69"/>
      <c r="M27" s="69">
        <f>SUM(E27:L27)</f>
        <v>0</v>
      </c>
    </row>
    <row r="28" spans="2:13" ht="12.75">
      <c r="B28" s="25" t="s">
        <v>74</v>
      </c>
      <c r="C28" s="8"/>
      <c r="D28" s="8"/>
      <c r="E28" s="48">
        <f>'Mountain View 1'!I67</f>
        <v>204213.1262144032</v>
      </c>
      <c r="F28" s="48">
        <f>'Indian Bay'!H67</f>
        <v>48131.6018474588</v>
      </c>
      <c r="G28" s="48">
        <f>'Rabbit Gulch'!G67</f>
        <v>38573.774096368084</v>
      </c>
      <c r="H28" s="48">
        <f>'Juniper Point'!H67</f>
        <v>23769.14561933255</v>
      </c>
      <c r="I28" s="48">
        <f>'Knight Hollow'!G67</f>
        <v>19218.57643939034</v>
      </c>
      <c r="J28" s="48">
        <f>'Strawberry River Above'!F67</f>
        <v>3313.9479623548086</v>
      </c>
      <c r="K28" s="48">
        <f>'Strawberry River Below'!F67</f>
        <v>4112.493746875179</v>
      </c>
      <c r="L28" s="48">
        <f>'Special Events'!G67</f>
        <v>6233.999999999997</v>
      </c>
      <c r="M28" s="48">
        <f>SUM(E28:L28)</f>
        <v>347566.665926183</v>
      </c>
    </row>
  </sheetData>
  <sheetProtection formatCells="0" formatColumns="0" formatRows="0" insertColumns="0" insertRows="0" insertHyperlinks="0" deleteColumns="0" deleteRows="0"/>
  <protectedRanges>
    <protectedRange sqref="A1:E2" name="Title"/>
    <protectedRange sqref="D14" name="Operating Costs"/>
  </protectedRanges>
  <mergeCells count="2">
    <mergeCell ref="A1:E1"/>
    <mergeCell ref="A2:E2"/>
  </mergeCells>
  <printOptions/>
  <pageMargins left="0.75" right="0.75" top="1" bottom="1" header="0.5" footer="0.5"/>
  <pageSetup firstPageNumber="22" useFirstPageNumber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workbookViewId="0" topLeftCell="A1">
      <selection activeCell="A3" sqref="A3:A29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14.8515625" style="0" customWidth="1"/>
    <col min="4" max="4" width="5.421875" style="0" customWidth="1"/>
    <col min="5" max="5" width="14.140625" style="0" bestFit="1" customWidth="1"/>
    <col min="6" max="6" width="9.421875" style="0" bestFit="1" customWidth="1"/>
    <col min="7" max="7" width="11.7109375" style="0" bestFit="1" customWidth="1"/>
    <col min="8" max="8" width="11.28125" style="0" bestFit="1" customWidth="1"/>
    <col min="9" max="9" width="13.28125" style="0" bestFit="1" customWidth="1"/>
    <col min="10" max="11" width="19.28125" style="0" bestFit="1" customWidth="1"/>
    <col min="12" max="12" width="13.28125" style="0" bestFit="1" customWidth="1"/>
    <col min="13" max="13" width="10.421875" style="0" bestFit="1" customWidth="1"/>
  </cols>
  <sheetData>
    <row r="1" spans="1:5" ht="15.75">
      <c r="A1" s="108" t="s">
        <v>173</v>
      </c>
      <c r="B1" s="108"/>
      <c r="C1" s="108"/>
      <c r="D1" s="108"/>
      <c r="E1" s="108"/>
    </row>
    <row r="2" spans="1:5" ht="15">
      <c r="A2" s="109" t="s">
        <v>28</v>
      </c>
      <c r="B2" s="109"/>
      <c r="C2" s="109"/>
      <c r="D2" s="109"/>
      <c r="E2" s="109"/>
    </row>
    <row r="3" spans="1:4" ht="12.75">
      <c r="A3" s="1"/>
      <c r="B3" s="1"/>
      <c r="C3" s="1"/>
      <c r="D3" s="1"/>
    </row>
    <row r="4" spans="1:4" ht="12.75">
      <c r="A4" s="1"/>
      <c r="B4" s="1"/>
      <c r="C4" s="17" t="s">
        <v>78</v>
      </c>
      <c r="D4" s="3">
        <v>0.028</v>
      </c>
    </row>
    <row r="5" spans="1:13" ht="13.5" thickBot="1">
      <c r="A5" s="26" t="s">
        <v>4</v>
      </c>
      <c r="B5" s="26" t="s">
        <v>59</v>
      </c>
      <c r="C5" s="56" t="s">
        <v>0</v>
      </c>
      <c r="D5" s="29">
        <v>30</v>
      </c>
      <c r="E5" s="47" t="s">
        <v>135</v>
      </c>
      <c r="F5" s="47" t="s">
        <v>123</v>
      </c>
      <c r="G5" s="47" t="s">
        <v>125</v>
      </c>
      <c r="H5" s="47" t="s">
        <v>126</v>
      </c>
      <c r="I5" s="47" t="s">
        <v>127</v>
      </c>
      <c r="J5" s="47" t="s">
        <v>158</v>
      </c>
      <c r="K5" s="47" t="s">
        <v>159</v>
      </c>
      <c r="L5" s="47" t="s">
        <v>130</v>
      </c>
      <c r="M5" s="47" t="s">
        <v>42</v>
      </c>
    </row>
    <row r="6" spans="1:13" ht="13.5" thickBot="1">
      <c r="A6" s="1"/>
      <c r="B6" s="1"/>
      <c r="C6" s="19" t="s">
        <v>8</v>
      </c>
      <c r="D6" s="1"/>
      <c r="E6" s="57">
        <f>'Mountain View 2'!K30</f>
        <v>4666000</v>
      </c>
      <c r="F6" s="64">
        <f>'Indian Bay'!H30</f>
        <v>579000</v>
      </c>
      <c r="G6" s="57">
        <f>'Rabbit Gulch'!G30</f>
        <v>434000</v>
      </c>
      <c r="H6" s="57">
        <f>'Juniper Point'!H30</f>
        <v>278000</v>
      </c>
      <c r="I6" s="57">
        <f>'Knight Hollow'!G30</f>
        <v>194000</v>
      </c>
      <c r="J6" s="57">
        <f>'Strawberry River Above'!F30</f>
        <v>38000</v>
      </c>
      <c r="K6" s="57">
        <f>'Strawberry River Below'!F30</f>
        <v>43000</v>
      </c>
      <c r="L6" s="57">
        <f>'Special Events'!G30</f>
        <v>3000</v>
      </c>
      <c r="M6" s="64">
        <f aca="true" t="shared" si="0" ref="M6:M27">SUM(E6:L6)</f>
        <v>6235000</v>
      </c>
    </row>
    <row r="7" spans="1:13" ht="13.5" thickTop="1">
      <c r="A7" s="1"/>
      <c r="B7" s="1"/>
      <c r="C7" s="4"/>
      <c r="D7" s="1"/>
      <c r="E7" s="35"/>
      <c r="F7" s="4"/>
      <c r="G7" s="35"/>
      <c r="H7" s="35"/>
      <c r="I7" s="35"/>
      <c r="J7" s="35"/>
      <c r="K7" s="35"/>
      <c r="L7" s="35"/>
      <c r="M7" s="35"/>
    </row>
    <row r="8" spans="1:13" ht="13.5" thickBot="1">
      <c r="A8" s="26" t="s">
        <v>9</v>
      </c>
      <c r="B8" s="27" t="s">
        <v>57</v>
      </c>
      <c r="C8" s="28"/>
      <c r="D8" s="29"/>
      <c r="E8" s="69"/>
      <c r="F8" s="47"/>
      <c r="G8" s="69"/>
      <c r="H8" s="69"/>
      <c r="I8" s="69"/>
      <c r="J8" s="69"/>
      <c r="K8" s="69"/>
      <c r="L8" s="69"/>
      <c r="M8" s="69">
        <f t="shared" si="0"/>
        <v>0</v>
      </c>
    </row>
    <row r="9" spans="2:13" ht="12.75">
      <c r="B9" s="25" t="s">
        <v>47</v>
      </c>
      <c r="C9" s="8"/>
      <c r="D9" s="8"/>
      <c r="E9" s="42">
        <f>'Mountain View 2'!K40</f>
        <v>135550</v>
      </c>
      <c r="F9" s="65">
        <f>'Indian Bay'!H40</f>
        <v>14950</v>
      </c>
      <c r="G9" s="42">
        <f>'Rabbit Gulch'!G40</f>
        <v>12900</v>
      </c>
      <c r="H9" s="42">
        <f>'Juniper Point'!H40</f>
        <v>7250</v>
      </c>
      <c r="I9" s="42">
        <f>'Knight Hollow'!G40</f>
        <v>7025</v>
      </c>
      <c r="J9" s="42">
        <f>'Strawberry River Above'!F40</f>
        <v>775</v>
      </c>
      <c r="K9" s="42">
        <f>'Strawberry River Below'!F40</f>
        <v>1225</v>
      </c>
      <c r="L9" s="42">
        <f>'Special Events'!G39</f>
        <v>2075</v>
      </c>
      <c r="M9" s="42">
        <f t="shared" si="0"/>
        <v>181750</v>
      </c>
    </row>
    <row r="10" spans="2:13" ht="12.75">
      <c r="B10" s="25" t="s">
        <v>48</v>
      </c>
      <c r="C10" s="8"/>
      <c r="D10" s="8"/>
      <c r="E10" s="39">
        <f>'Mountain View 2'!K41</f>
        <v>85340</v>
      </c>
      <c r="F10" s="39">
        <f>'Indian Bay'!H41</f>
        <v>1200</v>
      </c>
      <c r="G10" s="39">
        <f>'Rabbit Gulch'!G41</f>
        <v>700</v>
      </c>
      <c r="H10" s="39">
        <f>'Juniper Point'!H41</f>
        <v>500</v>
      </c>
      <c r="I10" s="39">
        <f>'Knight Hollow'!G41</f>
        <v>450</v>
      </c>
      <c r="J10" s="39">
        <f>'Strawberry River Above'!F41</f>
        <v>200</v>
      </c>
      <c r="K10" s="39">
        <f>'Strawberry River Below'!F41</f>
        <v>200</v>
      </c>
      <c r="L10" s="39">
        <f>'Special Events'!G40</f>
        <v>300</v>
      </c>
      <c r="M10" s="39">
        <f t="shared" si="0"/>
        <v>88890</v>
      </c>
    </row>
    <row r="11" spans="2:13" ht="12.75">
      <c r="B11" s="25" t="s">
        <v>49</v>
      </c>
      <c r="C11" s="8"/>
      <c r="D11" s="8"/>
      <c r="E11" s="39">
        <f>'Mountain View 2'!K42</f>
        <v>23700</v>
      </c>
      <c r="F11" s="39">
        <f>'Indian Bay'!H42</f>
        <v>0</v>
      </c>
      <c r="G11" s="39">
        <f>'Rabbit Gulch'!G42</f>
        <v>0</v>
      </c>
      <c r="H11" s="39">
        <f>'Juniper Point'!H42</f>
        <v>0</v>
      </c>
      <c r="I11" s="39">
        <f>'Knight Hollow'!G42</f>
        <v>0</v>
      </c>
      <c r="J11" s="39">
        <f>'Strawberry River Above'!F42</f>
        <v>0</v>
      </c>
      <c r="K11" s="39">
        <f>'Strawberry River Below'!F42</f>
        <v>0</v>
      </c>
      <c r="L11" s="39">
        <f>'Special Events'!G41</f>
        <v>25</v>
      </c>
      <c r="M11" s="39">
        <f t="shared" si="0"/>
        <v>23725</v>
      </c>
    </row>
    <row r="12" spans="2:13" ht="12.75">
      <c r="B12" s="25" t="s">
        <v>160</v>
      </c>
      <c r="C12" s="8"/>
      <c r="D12" s="8"/>
      <c r="E12" s="39">
        <f>'Mountain View 2'!K43</f>
        <v>0</v>
      </c>
      <c r="F12" s="39">
        <f>'Indian Bay'!H43</f>
        <v>0</v>
      </c>
      <c r="G12" s="39">
        <f>'Rabbit Gulch'!G43</f>
        <v>0</v>
      </c>
      <c r="H12" s="39">
        <f>'Juniper Point'!H43</f>
        <v>0</v>
      </c>
      <c r="I12" s="39">
        <f>'Knight Hollow'!G43</f>
        <v>0</v>
      </c>
      <c r="J12" s="39">
        <f>'Strawberry River Above'!F43</f>
        <v>0</v>
      </c>
      <c r="K12" s="39">
        <f>'Strawberry River Below'!F43</f>
        <v>0</v>
      </c>
      <c r="L12" s="39">
        <f>'Special Events'!G42</f>
        <v>0</v>
      </c>
      <c r="M12" s="39">
        <f t="shared" si="0"/>
        <v>0</v>
      </c>
    </row>
    <row r="13" spans="2:13" ht="12.75">
      <c r="B13" s="25" t="s">
        <v>50</v>
      </c>
      <c r="C13" s="8"/>
      <c r="D13" s="8"/>
      <c r="E13" s="39">
        <f>'Mountain View 2'!K44</f>
        <v>7350</v>
      </c>
      <c r="F13" s="39">
        <f>'Indian Bay'!H44</f>
        <v>0</v>
      </c>
      <c r="G13" s="39">
        <f>'Rabbit Gulch'!G44</f>
        <v>500</v>
      </c>
      <c r="H13" s="39">
        <f>'Juniper Point'!H44</f>
        <v>500</v>
      </c>
      <c r="I13" s="39">
        <f>'Knight Hollow'!G44</f>
        <v>500</v>
      </c>
      <c r="J13" s="39">
        <f>'Strawberry River Above'!F44</f>
        <v>250</v>
      </c>
      <c r="K13" s="39">
        <f>'Strawberry River Below'!F44</f>
        <v>250</v>
      </c>
      <c r="L13" s="39">
        <f>'Special Events'!G43</f>
        <v>250</v>
      </c>
      <c r="M13" s="39">
        <f t="shared" si="0"/>
        <v>9600</v>
      </c>
    </row>
    <row r="14" spans="2:13" ht="12.75">
      <c r="B14" s="25" t="s">
        <v>61</v>
      </c>
      <c r="C14" s="8"/>
      <c r="D14" s="33">
        <v>0.2</v>
      </c>
      <c r="E14" s="41">
        <f>'Mountain View 2'!K45</f>
        <v>50400</v>
      </c>
      <c r="F14" s="41">
        <f>'Indian Bay'!H45</f>
        <v>3200</v>
      </c>
      <c r="G14" s="41">
        <f>'Rabbit Gulch'!G45</f>
        <v>2900</v>
      </c>
      <c r="H14" s="41">
        <f>'Juniper Point'!H45</f>
        <v>1700</v>
      </c>
      <c r="I14" s="41">
        <f>'Knight Hollow'!G45</f>
        <v>1600</v>
      </c>
      <c r="J14" s="41">
        <f>'Strawberry River Above'!F45</f>
        <v>200</v>
      </c>
      <c r="K14" s="41">
        <f>'Strawberry River Below'!F45</f>
        <v>300</v>
      </c>
      <c r="L14" s="41">
        <f>'Special Events'!G44</f>
        <v>500</v>
      </c>
      <c r="M14" s="41">
        <f t="shared" si="0"/>
        <v>60800</v>
      </c>
    </row>
    <row r="15" spans="2:13" ht="13.5" thickBot="1">
      <c r="B15" s="34" t="s">
        <v>51</v>
      </c>
      <c r="C15" s="8"/>
      <c r="D15" s="8"/>
      <c r="E15" s="58">
        <f>'Mountain View 2'!K46</f>
        <v>302340</v>
      </c>
      <c r="F15" s="66">
        <f>'Indian Bay'!H46</f>
        <v>19350</v>
      </c>
      <c r="G15" s="58">
        <f>'Rabbit Gulch'!G46</f>
        <v>17000</v>
      </c>
      <c r="H15" s="58">
        <f>'Juniper Point'!H46</f>
        <v>9950</v>
      </c>
      <c r="I15" s="58">
        <f>'Knight Hollow'!G46</f>
        <v>9575</v>
      </c>
      <c r="J15" s="58">
        <f>'Strawberry River Above'!F46</f>
        <v>1425</v>
      </c>
      <c r="K15" s="58">
        <f>'Strawberry River Below'!F46</f>
        <v>1975</v>
      </c>
      <c r="L15" s="58">
        <f>'Special Events'!G45</f>
        <v>3150</v>
      </c>
      <c r="M15" s="58">
        <f t="shared" si="0"/>
        <v>364765</v>
      </c>
    </row>
    <row r="16" spans="2:13" ht="13.5" thickTop="1">
      <c r="B16" s="7"/>
      <c r="C16" s="8"/>
      <c r="D16" s="8"/>
      <c r="E16" s="70"/>
      <c r="F16" s="12"/>
      <c r="G16" s="70"/>
      <c r="H16" s="70"/>
      <c r="I16" s="70"/>
      <c r="J16" s="70"/>
      <c r="K16" s="70"/>
      <c r="L16" s="70"/>
      <c r="M16" s="70"/>
    </row>
    <row r="17" spans="1:13" ht="13.5" thickBot="1">
      <c r="A17" s="26" t="s">
        <v>10</v>
      </c>
      <c r="B17" s="27" t="s">
        <v>58</v>
      </c>
      <c r="C17" s="30"/>
      <c r="D17" s="30"/>
      <c r="E17" s="69"/>
      <c r="F17" s="47"/>
      <c r="G17" s="69"/>
      <c r="H17" s="69"/>
      <c r="I17" s="69"/>
      <c r="J17" s="69"/>
      <c r="K17" s="69"/>
      <c r="L17" s="69"/>
      <c r="M17" s="69">
        <f t="shared" si="0"/>
        <v>0</v>
      </c>
    </row>
    <row r="18" spans="2:13" ht="13.5" thickBot="1">
      <c r="B18" s="34" t="s">
        <v>52</v>
      </c>
      <c r="C18" s="8"/>
      <c r="D18" s="8"/>
      <c r="E18" s="49">
        <f>'Mountain View 2'!K54</f>
        <v>541500</v>
      </c>
      <c r="F18" s="49">
        <f>'Indian Bay'!H54</f>
        <v>45660</v>
      </c>
      <c r="G18" s="49">
        <f>'Rabbit Gulch'!G54</f>
        <v>42300</v>
      </c>
      <c r="H18" s="49">
        <f>'Juniper Point'!H54</f>
        <v>26400</v>
      </c>
      <c r="I18" s="49">
        <f>'Knight Hollow'!G54</f>
        <v>20400</v>
      </c>
      <c r="J18" s="49">
        <f>'Strawberry River Above'!F54</f>
        <v>1260</v>
      </c>
      <c r="K18" s="49">
        <f>'Strawberry River Below'!F54</f>
        <v>2100</v>
      </c>
      <c r="L18" s="49">
        <f>'Special Events'!G54</f>
        <v>6100</v>
      </c>
      <c r="M18" s="49">
        <f t="shared" si="0"/>
        <v>685720</v>
      </c>
    </row>
    <row r="19" spans="2:13" ht="13.5" thickTop="1">
      <c r="B19" s="25"/>
      <c r="C19" s="8"/>
      <c r="D19" s="8"/>
      <c r="E19" s="42"/>
      <c r="F19" s="65"/>
      <c r="G19" s="42"/>
      <c r="H19" s="42"/>
      <c r="I19" s="42"/>
      <c r="J19" s="42"/>
      <c r="K19" s="42"/>
      <c r="L19" s="42"/>
      <c r="M19" s="42"/>
    </row>
    <row r="20" spans="1:13" ht="13.5" thickBot="1">
      <c r="A20" s="26" t="s">
        <v>69</v>
      </c>
      <c r="B20" s="27" t="s">
        <v>68</v>
      </c>
      <c r="C20" s="30"/>
      <c r="D20" s="30"/>
      <c r="E20" s="69"/>
      <c r="F20" s="47"/>
      <c r="G20" s="69"/>
      <c r="H20" s="69"/>
      <c r="I20" s="69"/>
      <c r="J20" s="69"/>
      <c r="K20" s="69"/>
      <c r="L20" s="69"/>
      <c r="M20" s="69">
        <f t="shared" si="0"/>
        <v>0</v>
      </c>
    </row>
    <row r="21" spans="2:13" ht="12.75">
      <c r="B21" s="25" t="s">
        <v>53</v>
      </c>
      <c r="C21" s="8"/>
      <c r="D21" s="8"/>
      <c r="E21" s="48">
        <f>'Mountain View 2'!K58</f>
        <v>239160</v>
      </c>
      <c r="F21" s="48">
        <f>'Indian Bay'!H58</f>
        <v>26310</v>
      </c>
      <c r="G21" s="48">
        <f>'Rabbit Gulch'!G58</f>
        <v>25300</v>
      </c>
      <c r="H21" s="48">
        <f>'Juniper Point'!H58</f>
        <v>16450</v>
      </c>
      <c r="I21" s="48">
        <f>'Knight Hollow'!G58</f>
        <v>10825</v>
      </c>
      <c r="J21" s="48">
        <f>'Strawberry River Above'!F58</f>
        <v>-165</v>
      </c>
      <c r="K21" s="48">
        <f>'Strawberry River Below'!F58</f>
        <v>125</v>
      </c>
      <c r="L21" s="48">
        <f>'Special Events'!G58</f>
        <v>2950</v>
      </c>
      <c r="M21" s="48">
        <f t="shared" si="0"/>
        <v>320955</v>
      </c>
    </row>
    <row r="22" spans="2:13" ht="12.75">
      <c r="B22" s="25" t="s">
        <v>54</v>
      </c>
      <c r="C22" s="8"/>
      <c r="D22" s="8"/>
      <c r="E22" s="42">
        <f>'Mountain View 2'!K59</f>
        <v>4666000</v>
      </c>
      <c r="F22" s="65">
        <f>'Indian Bay'!H59</f>
        <v>579000</v>
      </c>
      <c r="G22" s="42">
        <f>'Rabbit Gulch'!G59</f>
        <v>434000</v>
      </c>
      <c r="H22" s="42">
        <f>'Juniper Point'!H59</f>
        <v>278000</v>
      </c>
      <c r="I22" s="42">
        <f>'Knight Hollow'!G59</f>
        <v>194000</v>
      </c>
      <c r="J22" s="42">
        <f>'Strawberry River Above'!F59</f>
        <v>38000</v>
      </c>
      <c r="K22" s="42">
        <f>'Strawberry River Below'!F59</f>
        <v>43000</v>
      </c>
      <c r="L22" s="42">
        <f>'Special Events'!G59</f>
        <v>3000</v>
      </c>
      <c r="M22" s="42">
        <f t="shared" si="0"/>
        <v>6235000</v>
      </c>
    </row>
    <row r="23" spans="2:13" ht="12.75">
      <c r="B23" s="25" t="s">
        <v>55</v>
      </c>
      <c r="C23" s="8"/>
      <c r="D23" s="8"/>
      <c r="E23" s="20">
        <f>'Mountain View 2'!K60</f>
        <v>19.50995149690584</v>
      </c>
      <c r="F23" s="20">
        <f>'Indian Bay'!H60</f>
        <v>22.006841505131128</v>
      </c>
      <c r="G23" s="20">
        <f>'Rabbit Gulch'!G60</f>
        <v>17.154150197628457</v>
      </c>
      <c r="H23" s="20">
        <f>'Juniper Point'!H60</f>
        <v>16.89969604863222</v>
      </c>
      <c r="I23" s="20">
        <f>'Knight Hollow'!G60</f>
        <v>17.92147806004619</v>
      </c>
      <c r="J23" s="20">
        <f>'Strawberry River Above'!F60</f>
        <v>-230.3030303030303</v>
      </c>
      <c r="K23" s="20">
        <f>'Strawberry River Below'!F60</f>
        <v>344</v>
      </c>
      <c r="L23" s="20">
        <f>'Special Events'!G60</f>
        <v>1.0169491525423728</v>
      </c>
      <c r="M23" s="20">
        <f>M22/M21</f>
        <v>19.426399339471267</v>
      </c>
    </row>
    <row r="24" spans="2:13" ht="12.75">
      <c r="B24" s="25" t="s">
        <v>79</v>
      </c>
      <c r="C24" s="8"/>
      <c r="D24" s="8"/>
      <c r="E24" s="60">
        <f>'Mountain View 2'!K63</f>
        <v>145000</v>
      </c>
      <c r="F24" s="67">
        <f>'Indian Bay'!H63</f>
        <v>-50000</v>
      </c>
      <c r="G24" s="60">
        <f>'Rabbit Gulch'!G63</f>
        <v>75000</v>
      </c>
      <c r="H24" s="60">
        <f>'Juniper Point'!H63</f>
        <v>53000</v>
      </c>
      <c r="I24" s="60">
        <f>'Knight Hollow'!G63</f>
        <v>24000</v>
      </c>
      <c r="J24" s="60">
        <f>'Strawberry River Above'!F63</f>
        <v>-41000</v>
      </c>
      <c r="K24" s="60">
        <f>'Strawberry River Below'!F63</f>
        <v>-40000</v>
      </c>
      <c r="L24" s="60">
        <f>'Special Events'!G63</f>
        <v>0</v>
      </c>
      <c r="M24" s="60">
        <f t="shared" si="0"/>
        <v>166000</v>
      </c>
    </row>
    <row r="25" spans="3:13" ht="12.75">
      <c r="C25" s="8"/>
      <c r="D25" s="8"/>
      <c r="E25" s="42"/>
      <c r="F25" s="65"/>
      <c r="G25" s="42"/>
      <c r="H25" s="42"/>
      <c r="I25" s="42"/>
      <c r="J25" s="42"/>
      <c r="K25" s="42"/>
      <c r="L25" s="42"/>
      <c r="M25" s="42"/>
    </row>
    <row r="26" spans="1:13" ht="13.5" thickBot="1">
      <c r="A26" s="26" t="s">
        <v>70</v>
      </c>
      <c r="B26" s="27" t="s">
        <v>60</v>
      </c>
      <c r="C26" s="30"/>
      <c r="D26" s="30"/>
      <c r="E26" s="69"/>
      <c r="F26" s="47"/>
      <c r="G26" s="69"/>
      <c r="H26" s="69"/>
      <c r="I26" s="69"/>
      <c r="J26" s="69"/>
      <c r="K26" s="69"/>
      <c r="L26" s="69"/>
      <c r="M26" s="69">
        <f t="shared" si="0"/>
        <v>0</v>
      </c>
    </row>
    <row r="27" spans="2:13" ht="12.75">
      <c r="B27" s="25" t="s">
        <v>74</v>
      </c>
      <c r="C27" s="8"/>
      <c r="D27" s="8"/>
      <c r="E27" s="48">
        <f>'Mountain View 2'!K67</f>
        <v>534282.9261144089</v>
      </c>
      <c r="F27" s="48">
        <f>'Indian Bay'!H67</f>
        <v>48131.6018474588</v>
      </c>
      <c r="G27" s="48">
        <f>'Rabbit Gulch'!G67</f>
        <v>38573.774096368084</v>
      </c>
      <c r="H27" s="48">
        <f>'Juniper Point'!H67</f>
        <v>23769.14561933255</v>
      </c>
      <c r="I27" s="48">
        <f>'Knight Hollow'!G67</f>
        <v>19218.57643939034</v>
      </c>
      <c r="J27" s="48">
        <f>'Strawberry River Above'!F67</f>
        <v>3313.9479623548086</v>
      </c>
      <c r="K27" s="48">
        <f>'Strawberry River Below'!F67</f>
        <v>4112.493746875179</v>
      </c>
      <c r="L27" s="48">
        <f>'Special Events'!G67</f>
        <v>6233.999999999997</v>
      </c>
      <c r="M27" s="48">
        <f t="shared" si="0"/>
        <v>677636.4658261886</v>
      </c>
    </row>
  </sheetData>
  <sheetProtection formatCells="0" formatColumns="0" formatRows="0" insertColumns="0" insertRows="0" insertHyperlinks="0" deleteColumns="0" deleteRows="0"/>
  <protectedRanges>
    <protectedRange sqref="A1:E2" name="Title"/>
    <protectedRange sqref="D14" name="Operating Costs"/>
  </protectedRanges>
  <mergeCells count="2">
    <mergeCell ref="A1:E1"/>
    <mergeCell ref="A2:E2"/>
  </mergeCells>
  <printOptions/>
  <pageMargins left="0.75" right="0.75" top="1" bottom="1" header="0.5" footer="0.5"/>
  <pageSetup firstPageNumber="22" useFirstPageNumber="1" horizontalDpi="600" verticalDpi="600" orientation="landscape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workbookViewId="0" topLeftCell="A1">
      <selection activeCell="I34" sqref="I34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14.8515625" style="0" customWidth="1"/>
    <col min="4" max="4" width="5.421875" style="0" customWidth="1"/>
    <col min="5" max="5" width="14.140625" style="0" customWidth="1"/>
    <col min="6" max="6" width="9.421875" style="0" customWidth="1"/>
    <col min="7" max="7" width="11.7109375" style="0" customWidth="1"/>
    <col min="8" max="8" width="11.28125" style="0" customWidth="1"/>
    <col min="9" max="9" width="13.28125" style="0" customWidth="1"/>
    <col min="10" max="11" width="19.28125" style="0" customWidth="1"/>
    <col min="12" max="12" width="13.28125" style="0" customWidth="1"/>
    <col min="13" max="13" width="10.421875" style="0" bestFit="1" customWidth="1"/>
  </cols>
  <sheetData>
    <row r="1" spans="1:5" ht="15.75">
      <c r="A1" s="108" t="s">
        <v>173</v>
      </c>
      <c r="B1" s="108"/>
      <c r="C1" s="108"/>
      <c r="D1" s="108"/>
      <c r="E1" s="108"/>
    </row>
    <row r="2" spans="1:5" ht="15">
      <c r="A2" s="109" t="s">
        <v>29</v>
      </c>
      <c r="B2" s="109"/>
      <c r="C2" s="109"/>
      <c r="D2" s="109"/>
      <c r="E2" s="109"/>
    </row>
    <row r="3" spans="1:4" ht="12.75">
      <c r="A3" s="1"/>
      <c r="B3" s="1"/>
      <c r="C3" s="1"/>
      <c r="D3" s="1"/>
    </row>
    <row r="4" spans="1:4" ht="12.75">
      <c r="A4" s="1"/>
      <c r="B4" s="1"/>
      <c r="C4" s="17" t="s">
        <v>78</v>
      </c>
      <c r="D4" s="3">
        <v>0.028</v>
      </c>
    </row>
    <row r="5" spans="1:13" ht="13.5" thickBot="1">
      <c r="A5" s="26" t="s">
        <v>4</v>
      </c>
      <c r="B5" s="26" t="s">
        <v>59</v>
      </c>
      <c r="C5" s="56" t="s">
        <v>0</v>
      </c>
      <c r="D5" s="29">
        <v>30</v>
      </c>
      <c r="E5" s="47" t="s">
        <v>136</v>
      </c>
      <c r="F5" s="47" t="s">
        <v>123</v>
      </c>
      <c r="G5" s="47" t="s">
        <v>125</v>
      </c>
      <c r="H5" s="47" t="s">
        <v>126</v>
      </c>
      <c r="I5" s="47" t="s">
        <v>127</v>
      </c>
      <c r="J5" s="47" t="s">
        <v>158</v>
      </c>
      <c r="K5" s="47" t="s">
        <v>159</v>
      </c>
      <c r="L5" s="47" t="s">
        <v>130</v>
      </c>
      <c r="M5" s="47" t="s">
        <v>42</v>
      </c>
    </row>
    <row r="6" spans="1:13" ht="13.5" thickBot="1">
      <c r="A6" s="1"/>
      <c r="B6" s="1"/>
      <c r="C6" s="19" t="s">
        <v>8</v>
      </c>
      <c r="D6" s="1"/>
      <c r="E6" s="57">
        <f>'Mountain View 3'!J30</f>
        <v>4667000</v>
      </c>
      <c r="F6" s="64">
        <f>'Indian Bay'!H30</f>
        <v>579000</v>
      </c>
      <c r="G6" s="57">
        <f>'Rabbit Gulch'!G30</f>
        <v>434000</v>
      </c>
      <c r="H6" s="57">
        <f>'Juniper Point'!H30</f>
        <v>278000</v>
      </c>
      <c r="I6" s="57">
        <f>'Knight Hollow'!G30</f>
        <v>194000</v>
      </c>
      <c r="J6" s="57">
        <f>'Strawberry River Above'!F30</f>
        <v>38000</v>
      </c>
      <c r="K6" s="57">
        <f>'Strawberry River Below'!F30</f>
        <v>43000</v>
      </c>
      <c r="L6" s="57">
        <f>'Special Events'!G30</f>
        <v>3000</v>
      </c>
      <c r="M6" s="64">
        <f aca="true" t="shared" si="0" ref="M6:M27">SUM(E6:L6)</f>
        <v>6236000</v>
      </c>
    </row>
    <row r="7" spans="1:13" ht="13.5" thickTop="1">
      <c r="A7" s="1"/>
      <c r="B7" s="1"/>
      <c r="C7" s="19"/>
      <c r="D7" s="1"/>
      <c r="E7" s="68"/>
      <c r="F7" s="15"/>
      <c r="G7" s="68"/>
      <c r="H7" s="68"/>
      <c r="I7" s="68"/>
      <c r="J7" s="68"/>
      <c r="K7" s="68"/>
      <c r="L7" s="68"/>
      <c r="M7" s="68"/>
    </row>
    <row r="8" spans="1:13" ht="13.5" thickBot="1">
      <c r="A8" s="26" t="s">
        <v>9</v>
      </c>
      <c r="B8" s="27" t="s">
        <v>57</v>
      </c>
      <c r="C8" s="28"/>
      <c r="D8" s="29"/>
      <c r="E8" s="69" t="str">
        <f>'Mountain View 3'!J33</f>
        <v>TOTAL</v>
      </c>
      <c r="F8" s="47"/>
      <c r="G8" s="69"/>
      <c r="H8" s="69"/>
      <c r="I8" s="69"/>
      <c r="J8" s="69"/>
      <c r="K8" s="69"/>
      <c r="L8" s="69"/>
      <c r="M8" s="69">
        <f t="shared" si="0"/>
        <v>0</v>
      </c>
    </row>
    <row r="9" spans="2:13" ht="12.75">
      <c r="B9" s="25" t="s">
        <v>47</v>
      </c>
      <c r="C9" s="8"/>
      <c r="D9" s="8"/>
      <c r="E9" s="42">
        <f>'Mountain View 3'!J40</f>
        <v>188600</v>
      </c>
      <c r="F9" s="65">
        <f>'Indian Bay'!H40</f>
        <v>14950</v>
      </c>
      <c r="G9" s="42">
        <f>'Rabbit Gulch'!G40</f>
        <v>12900</v>
      </c>
      <c r="H9" s="42">
        <f>'Juniper Point'!H40</f>
        <v>7250</v>
      </c>
      <c r="I9" s="42">
        <f>'Knight Hollow'!G40</f>
        <v>7025</v>
      </c>
      <c r="J9" s="42">
        <f>'Strawberry River Above'!F40</f>
        <v>775</v>
      </c>
      <c r="K9" s="42">
        <f>'Strawberry River Below'!F40</f>
        <v>1225</v>
      </c>
      <c r="L9" s="42">
        <f>'Special Events'!G39</f>
        <v>2075</v>
      </c>
      <c r="M9" s="42">
        <f t="shared" si="0"/>
        <v>234800</v>
      </c>
    </row>
    <row r="10" spans="2:13" ht="12.75">
      <c r="B10" s="25" t="s">
        <v>48</v>
      </c>
      <c r="C10" s="8"/>
      <c r="D10" s="8"/>
      <c r="E10" s="39">
        <f>'Mountain View 3'!J41</f>
        <v>121100</v>
      </c>
      <c r="F10" s="39">
        <f>'Indian Bay'!H41</f>
        <v>1200</v>
      </c>
      <c r="G10" s="39">
        <f>'Rabbit Gulch'!G41</f>
        <v>700</v>
      </c>
      <c r="H10" s="39">
        <f>'Juniper Point'!H41</f>
        <v>500</v>
      </c>
      <c r="I10" s="39">
        <f>'Knight Hollow'!G41</f>
        <v>450</v>
      </c>
      <c r="J10" s="39">
        <f>'Strawberry River Above'!F41</f>
        <v>200</v>
      </c>
      <c r="K10" s="39">
        <f>'Strawberry River Below'!F41</f>
        <v>200</v>
      </c>
      <c r="L10" s="39">
        <f>'Special Events'!G40</f>
        <v>300</v>
      </c>
      <c r="M10" s="39">
        <f t="shared" si="0"/>
        <v>124650</v>
      </c>
    </row>
    <row r="11" spans="2:13" ht="12.75">
      <c r="B11" s="25" t="s">
        <v>49</v>
      </c>
      <c r="C11" s="8"/>
      <c r="D11" s="8"/>
      <c r="E11" s="39">
        <f>'Mountain View 3'!J42</f>
        <v>27000</v>
      </c>
      <c r="F11" s="39">
        <f>'Indian Bay'!H42</f>
        <v>0</v>
      </c>
      <c r="G11" s="39">
        <f>'Rabbit Gulch'!G42</f>
        <v>0</v>
      </c>
      <c r="H11" s="39">
        <f>'Juniper Point'!H42</f>
        <v>0</v>
      </c>
      <c r="I11" s="39">
        <f>'Knight Hollow'!G42</f>
        <v>0</v>
      </c>
      <c r="J11" s="39">
        <f>'Strawberry River Above'!F42</f>
        <v>0</v>
      </c>
      <c r="K11" s="39">
        <f>'Strawberry River Below'!F42</f>
        <v>0</v>
      </c>
      <c r="L11" s="39">
        <f>'Special Events'!G41</f>
        <v>25</v>
      </c>
      <c r="M11" s="39">
        <f t="shared" si="0"/>
        <v>27025</v>
      </c>
    </row>
    <row r="12" spans="2:13" ht="12.75">
      <c r="B12" s="25" t="s">
        <v>160</v>
      </c>
      <c r="C12" s="8"/>
      <c r="D12" s="8"/>
      <c r="E12" s="39">
        <f>'Mountain View 3'!J43</f>
        <v>0</v>
      </c>
      <c r="F12" s="39">
        <f>'Indian Bay'!H43</f>
        <v>0</v>
      </c>
      <c r="G12" s="39">
        <f>'Rabbit Gulch'!G43</f>
        <v>0</v>
      </c>
      <c r="H12" s="39">
        <f>'Juniper Point'!H43</f>
        <v>0</v>
      </c>
      <c r="I12" s="39">
        <f>'Knight Hollow'!G43</f>
        <v>0</v>
      </c>
      <c r="J12" s="39">
        <f>'Strawberry River Above'!F43</f>
        <v>0</v>
      </c>
      <c r="K12" s="39">
        <f>'Strawberry River Below'!F43</f>
        <v>0</v>
      </c>
      <c r="L12" s="39">
        <f>'Special Events'!G42</f>
        <v>0</v>
      </c>
      <c r="M12" s="39">
        <f t="shared" si="0"/>
        <v>0</v>
      </c>
    </row>
    <row r="13" spans="2:13" ht="12.75">
      <c r="B13" s="25" t="s">
        <v>50</v>
      </c>
      <c r="C13" s="8"/>
      <c r="D13" s="8"/>
      <c r="E13" s="39">
        <f>'Mountain View 3'!J44</f>
        <v>10500</v>
      </c>
      <c r="F13" s="39">
        <f>'Indian Bay'!H44</f>
        <v>0</v>
      </c>
      <c r="G13" s="39">
        <f>'Rabbit Gulch'!G44</f>
        <v>500</v>
      </c>
      <c r="H13" s="39">
        <f>'Juniper Point'!H44</f>
        <v>500</v>
      </c>
      <c r="I13" s="39">
        <f>'Knight Hollow'!G44</f>
        <v>500</v>
      </c>
      <c r="J13" s="39">
        <f>'Strawberry River Above'!F44</f>
        <v>250</v>
      </c>
      <c r="K13" s="39">
        <f>'Strawberry River Below'!F44</f>
        <v>250</v>
      </c>
      <c r="L13" s="39">
        <f>'Special Events'!G43</f>
        <v>250</v>
      </c>
      <c r="M13" s="39">
        <f t="shared" si="0"/>
        <v>12750</v>
      </c>
    </row>
    <row r="14" spans="2:13" ht="12.75">
      <c r="B14" s="25" t="s">
        <v>61</v>
      </c>
      <c r="C14" s="8"/>
      <c r="D14" s="33">
        <v>0.2</v>
      </c>
      <c r="E14" s="41">
        <f>'Mountain View 3'!J45</f>
        <v>69400</v>
      </c>
      <c r="F14" s="41">
        <f>'Indian Bay'!H45</f>
        <v>3200</v>
      </c>
      <c r="G14" s="41">
        <f>'Rabbit Gulch'!G45</f>
        <v>2900</v>
      </c>
      <c r="H14" s="41">
        <f>'Juniper Point'!H45</f>
        <v>1700</v>
      </c>
      <c r="I14" s="41">
        <f>'Knight Hollow'!G45</f>
        <v>1600</v>
      </c>
      <c r="J14" s="41">
        <f>'Strawberry River Above'!F45</f>
        <v>200</v>
      </c>
      <c r="K14" s="41">
        <f>'Strawberry River Below'!F45</f>
        <v>300</v>
      </c>
      <c r="L14" s="41">
        <f>'Special Events'!G44</f>
        <v>500</v>
      </c>
      <c r="M14" s="41">
        <f t="shared" si="0"/>
        <v>79800</v>
      </c>
    </row>
    <row r="15" spans="2:13" ht="13.5" thickBot="1">
      <c r="B15" s="34" t="s">
        <v>51</v>
      </c>
      <c r="C15" s="8"/>
      <c r="D15" s="8"/>
      <c r="E15" s="58">
        <f>'Mountain View 3'!J46</f>
        <v>416600</v>
      </c>
      <c r="F15" s="66">
        <f>'Indian Bay'!H46</f>
        <v>19350</v>
      </c>
      <c r="G15" s="58">
        <f>'Rabbit Gulch'!G46</f>
        <v>17000</v>
      </c>
      <c r="H15" s="58">
        <f>'Juniper Point'!H46</f>
        <v>9950</v>
      </c>
      <c r="I15" s="58">
        <f>'Knight Hollow'!G46</f>
        <v>9575</v>
      </c>
      <c r="J15" s="58">
        <f>'Strawberry River Above'!F46</f>
        <v>1425</v>
      </c>
      <c r="K15" s="58">
        <f>'Strawberry River Below'!F46</f>
        <v>1975</v>
      </c>
      <c r="L15" s="58">
        <f>'Special Events'!G45</f>
        <v>3150</v>
      </c>
      <c r="M15" s="58">
        <f t="shared" si="0"/>
        <v>479025</v>
      </c>
    </row>
    <row r="16" spans="2:13" ht="13.5" thickTop="1">
      <c r="B16" s="7"/>
      <c r="C16" s="8"/>
      <c r="D16" s="8"/>
      <c r="E16" s="70"/>
      <c r="F16" s="12"/>
      <c r="G16" s="70"/>
      <c r="H16" s="70"/>
      <c r="I16" s="70"/>
      <c r="J16" s="70"/>
      <c r="K16" s="70"/>
      <c r="L16" s="70"/>
      <c r="M16" s="70"/>
    </row>
    <row r="17" spans="1:13" ht="13.5" thickBot="1">
      <c r="A17" s="26" t="s">
        <v>10</v>
      </c>
      <c r="B17" s="27" t="s">
        <v>58</v>
      </c>
      <c r="C17" s="30"/>
      <c r="D17" s="30"/>
      <c r="E17" s="69" t="str">
        <f>'Mountain View 3'!J49</f>
        <v>TOTAL</v>
      </c>
      <c r="F17" s="47"/>
      <c r="G17" s="69"/>
      <c r="H17" s="69"/>
      <c r="I17" s="69"/>
      <c r="J17" s="69"/>
      <c r="K17" s="69"/>
      <c r="L17" s="69"/>
      <c r="M17" s="69">
        <f t="shared" si="0"/>
        <v>0</v>
      </c>
    </row>
    <row r="18" spans="2:13" ht="13.5" thickBot="1">
      <c r="B18" s="34" t="s">
        <v>52</v>
      </c>
      <c r="C18" s="8"/>
      <c r="D18" s="8"/>
      <c r="E18" s="49">
        <f>'Mountain View 3'!J54</f>
        <v>679500</v>
      </c>
      <c r="F18" s="49">
        <f>'Indian Bay'!H54</f>
        <v>45660</v>
      </c>
      <c r="G18" s="49">
        <f>'Rabbit Gulch'!G54</f>
        <v>42300</v>
      </c>
      <c r="H18" s="49">
        <f>'Juniper Point'!H54</f>
        <v>26400</v>
      </c>
      <c r="I18" s="49">
        <f>'Knight Hollow'!G54</f>
        <v>20400</v>
      </c>
      <c r="J18" s="49">
        <f>'Strawberry River Above'!F54</f>
        <v>1260</v>
      </c>
      <c r="K18" s="49">
        <f>'Strawberry River Below'!F54</f>
        <v>2100</v>
      </c>
      <c r="L18" s="49">
        <f>'Special Events'!G54</f>
        <v>6100</v>
      </c>
      <c r="M18" s="49">
        <f t="shared" si="0"/>
        <v>823720</v>
      </c>
    </row>
    <row r="19" spans="2:13" ht="13.5" thickTop="1">
      <c r="B19" s="25"/>
      <c r="C19" s="8"/>
      <c r="D19" s="8"/>
      <c r="E19" s="42"/>
      <c r="F19" s="65"/>
      <c r="G19" s="42"/>
      <c r="H19" s="42"/>
      <c r="I19" s="42"/>
      <c r="J19" s="42"/>
      <c r="K19" s="42"/>
      <c r="L19" s="42"/>
      <c r="M19" s="42"/>
    </row>
    <row r="20" spans="1:13" ht="13.5" thickBot="1">
      <c r="A20" s="26" t="s">
        <v>69</v>
      </c>
      <c r="B20" s="27" t="s">
        <v>68</v>
      </c>
      <c r="C20" s="30"/>
      <c r="D20" s="30"/>
      <c r="E20" s="69" t="str">
        <f>'Mountain View 3'!J57</f>
        <v>TOTAL</v>
      </c>
      <c r="F20" s="47"/>
      <c r="G20" s="69"/>
      <c r="H20" s="69"/>
      <c r="I20" s="69"/>
      <c r="J20" s="69"/>
      <c r="K20" s="69"/>
      <c r="L20" s="69"/>
      <c r="M20" s="69">
        <f t="shared" si="0"/>
        <v>0</v>
      </c>
    </row>
    <row r="21" spans="2:13" ht="12.75">
      <c r="B21" s="25" t="s">
        <v>53</v>
      </c>
      <c r="C21" s="8"/>
      <c r="D21" s="8"/>
      <c r="E21" s="48">
        <f>'Mountain View 3'!J58</f>
        <v>262900</v>
      </c>
      <c r="F21" s="48">
        <f>'Indian Bay'!H58</f>
        <v>26310</v>
      </c>
      <c r="G21" s="48">
        <f>'Rabbit Gulch'!G58</f>
        <v>25300</v>
      </c>
      <c r="H21" s="48">
        <f>'Juniper Point'!H58</f>
        <v>16450</v>
      </c>
      <c r="I21" s="48">
        <f>'Knight Hollow'!G58</f>
        <v>10825</v>
      </c>
      <c r="J21" s="48">
        <f>'Strawberry River Above'!F58</f>
        <v>-165</v>
      </c>
      <c r="K21" s="48">
        <f>'Strawberry River Below'!F58</f>
        <v>125</v>
      </c>
      <c r="L21" s="48">
        <f>'Special Events'!G58</f>
        <v>2950</v>
      </c>
      <c r="M21" s="48">
        <f t="shared" si="0"/>
        <v>344695</v>
      </c>
    </row>
    <row r="22" spans="2:13" ht="12.75">
      <c r="B22" s="25" t="s">
        <v>54</v>
      </c>
      <c r="C22" s="8"/>
      <c r="D22" s="8"/>
      <c r="E22" s="42">
        <f>'Mountain View 3'!J59</f>
        <v>4667000</v>
      </c>
      <c r="F22" s="65">
        <f>'Indian Bay'!H59</f>
        <v>579000</v>
      </c>
      <c r="G22" s="42">
        <f>'Rabbit Gulch'!G59</f>
        <v>434000</v>
      </c>
      <c r="H22" s="42">
        <f>'Juniper Point'!H59</f>
        <v>278000</v>
      </c>
      <c r="I22" s="42">
        <f>'Knight Hollow'!G59</f>
        <v>194000</v>
      </c>
      <c r="J22" s="42">
        <f>'Strawberry River Above'!F59</f>
        <v>38000</v>
      </c>
      <c r="K22" s="42">
        <f>'Strawberry River Below'!F59</f>
        <v>43000</v>
      </c>
      <c r="L22" s="42">
        <f>'Special Events'!G59</f>
        <v>3000</v>
      </c>
      <c r="M22" s="42">
        <f t="shared" si="0"/>
        <v>6236000</v>
      </c>
    </row>
    <row r="23" spans="2:13" ht="12.75">
      <c r="B23" s="25" t="s">
        <v>55</v>
      </c>
      <c r="C23" s="8"/>
      <c r="D23" s="8"/>
      <c r="E23" s="20">
        <f>'Mountain View 3'!J60</f>
        <v>17.751996957017877</v>
      </c>
      <c r="F23" s="20">
        <f>'Indian Bay'!H60</f>
        <v>22.006841505131128</v>
      </c>
      <c r="G23" s="20">
        <f>'Rabbit Gulch'!G60</f>
        <v>17.154150197628457</v>
      </c>
      <c r="H23" s="20">
        <f>'Juniper Point'!H60</f>
        <v>16.89969604863222</v>
      </c>
      <c r="I23" s="20">
        <f>'Knight Hollow'!G60</f>
        <v>17.92147806004619</v>
      </c>
      <c r="J23" s="20">
        <f>'Strawberry River Above'!F60</f>
        <v>-230.3030303030303</v>
      </c>
      <c r="K23" s="20">
        <f>'Strawberry River Below'!F60</f>
        <v>344</v>
      </c>
      <c r="L23" s="20">
        <f>'Special Events'!G60</f>
        <v>1.0169491525423728</v>
      </c>
      <c r="M23" s="20">
        <f t="shared" si="0"/>
        <v>206.44808161796792</v>
      </c>
    </row>
    <row r="24" spans="2:13" ht="12.75">
      <c r="B24" s="25" t="s">
        <v>79</v>
      </c>
      <c r="C24" s="8"/>
      <c r="D24" s="8"/>
      <c r="E24" s="60">
        <f>'Mountain View 3'!J63</f>
        <v>622000</v>
      </c>
      <c r="F24" s="67">
        <f>'Indian Bay'!H63</f>
        <v>-50000</v>
      </c>
      <c r="G24" s="60">
        <f>'Rabbit Gulch'!G63</f>
        <v>75000</v>
      </c>
      <c r="H24" s="60">
        <f>'Juniper Point'!H63</f>
        <v>53000</v>
      </c>
      <c r="I24" s="60">
        <f>'Knight Hollow'!G63</f>
        <v>24000</v>
      </c>
      <c r="J24" s="60">
        <f>'Strawberry River Above'!F63</f>
        <v>-41000</v>
      </c>
      <c r="K24" s="60">
        <f>'Strawberry River Below'!F63</f>
        <v>-40000</v>
      </c>
      <c r="L24" s="60">
        <f>'Special Events'!G63</f>
        <v>0</v>
      </c>
      <c r="M24" s="60">
        <f t="shared" si="0"/>
        <v>643000</v>
      </c>
    </row>
    <row r="25" spans="3:13" ht="12.75">
      <c r="C25" s="8"/>
      <c r="D25" s="8"/>
      <c r="E25" s="42"/>
      <c r="F25" s="65"/>
      <c r="G25" s="42"/>
      <c r="H25" s="42"/>
      <c r="I25" s="42"/>
      <c r="J25" s="42"/>
      <c r="K25" s="42"/>
      <c r="L25" s="42"/>
      <c r="M25" s="42"/>
    </row>
    <row r="26" spans="1:13" ht="13.5" thickBot="1">
      <c r="A26" s="26" t="s">
        <v>70</v>
      </c>
      <c r="B26" s="27" t="s">
        <v>60</v>
      </c>
      <c r="C26" s="30"/>
      <c r="D26" s="30"/>
      <c r="E26" s="69" t="str">
        <f>'Mountain View 3'!J66</f>
        <v>TOTAL</v>
      </c>
      <c r="F26" s="47"/>
      <c r="G26" s="69"/>
      <c r="H26" s="69"/>
      <c r="I26" s="69"/>
      <c r="J26" s="69"/>
      <c r="K26" s="69"/>
      <c r="L26" s="69"/>
      <c r="M26" s="69">
        <f t="shared" si="0"/>
        <v>0</v>
      </c>
    </row>
    <row r="27" spans="2:13" ht="12.75">
      <c r="B27" s="25" t="s">
        <v>74</v>
      </c>
      <c r="C27" s="8"/>
      <c r="D27" s="8"/>
      <c r="E27" s="48">
        <f>'Mountain View 3'!J67</f>
        <v>648592.635271313</v>
      </c>
      <c r="F27" s="48">
        <f>'Indian Bay'!H67</f>
        <v>48131.6018474588</v>
      </c>
      <c r="G27" s="48">
        <f>'Rabbit Gulch'!G67</f>
        <v>38573.774096368084</v>
      </c>
      <c r="H27" s="48">
        <f>'Juniper Point'!H67</f>
        <v>23769.14561933255</v>
      </c>
      <c r="I27" s="48">
        <f>'Knight Hollow'!G67</f>
        <v>19218.57643939034</v>
      </c>
      <c r="J27" s="48">
        <f>'Strawberry River Above'!F67</f>
        <v>3313.9479623548086</v>
      </c>
      <c r="K27" s="48">
        <f>'Strawberry River Below'!F67</f>
        <v>4112.493746875179</v>
      </c>
      <c r="L27" s="48">
        <f>'Special Events'!G67</f>
        <v>6233.999999999997</v>
      </c>
      <c r="M27" s="48">
        <f t="shared" si="0"/>
        <v>791946.1749830927</v>
      </c>
    </row>
  </sheetData>
  <sheetProtection formatCells="0" formatColumns="0" formatRows="0" insertColumns="0" insertRows="0" insertHyperlinks="0" deleteColumns="0" deleteRows="0"/>
  <protectedRanges>
    <protectedRange sqref="A1:E2" name="Title"/>
    <protectedRange sqref="D14" name="Operating Costs"/>
  </protectedRanges>
  <mergeCells count="2">
    <mergeCell ref="A1:E1"/>
    <mergeCell ref="A2:E2"/>
  </mergeCells>
  <printOptions/>
  <pageMargins left="0.75" right="0.75" top="1" bottom="1" header="0.5" footer="0.5"/>
  <pageSetup firstPageNumber="22" useFirstPageNumber="1" horizontalDpi="600" verticalDpi="600" orientation="portrait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workbookViewId="0" topLeftCell="A1">
      <selection activeCell="H34" sqref="H34"/>
    </sheetView>
  </sheetViews>
  <sheetFormatPr defaultColWidth="9.140625" defaultRowHeight="12.75"/>
  <cols>
    <col min="1" max="1" width="3.140625" style="0" customWidth="1"/>
    <col min="2" max="2" width="24.140625" style="0" bestFit="1" customWidth="1"/>
    <col min="3" max="3" width="14.140625" style="0" bestFit="1" customWidth="1"/>
    <col min="4" max="4" width="9.421875" style="0" bestFit="1" customWidth="1"/>
    <col min="5" max="5" width="11.7109375" style="0" bestFit="1" customWidth="1"/>
    <col min="6" max="6" width="11.28125" style="0" bestFit="1" customWidth="1"/>
    <col min="7" max="7" width="13.28125" style="0" bestFit="1" customWidth="1"/>
    <col min="8" max="8" width="20.28125" style="0" customWidth="1"/>
    <col min="9" max="9" width="20.8515625" style="0" customWidth="1"/>
    <col min="10" max="10" width="13.28125" style="0" bestFit="1" customWidth="1"/>
    <col min="11" max="11" width="9.421875" style="0" bestFit="1" customWidth="1"/>
    <col min="12" max="12" width="10.421875" style="0" bestFit="1" customWidth="1"/>
  </cols>
  <sheetData>
    <row r="1" spans="1:12" ht="15.75">
      <c r="A1" s="108" t="s">
        <v>173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5">
      <c r="A2" s="109" t="s">
        <v>38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3.5" thickBot="1">
      <c r="A4" s="26" t="s">
        <v>4</v>
      </c>
      <c r="B4" s="27" t="s">
        <v>68</v>
      </c>
      <c r="C4" s="47" t="s">
        <v>124</v>
      </c>
      <c r="D4" s="47" t="s">
        <v>123</v>
      </c>
      <c r="E4" s="47" t="s">
        <v>125</v>
      </c>
      <c r="F4" s="47" t="s">
        <v>126</v>
      </c>
      <c r="G4" s="47" t="s">
        <v>127</v>
      </c>
      <c r="H4" s="47" t="s">
        <v>158</v>
      </c>
      <c r="I4" s="47" t="s">
        <v>159</v>
      </c>
      <c r="J4" s="47" t="s">
        <v>130</v>
      </c>
      <c r="K4" s="47" t="s">
        <v>131</v>
      </c>
      <c r="L4" s="47" t="s">
        <v>42</v>
      </c>
    </row>
    <row r="5" spans="2:12" ht="12.75">
      <c r="B5" s="25" t="s">
        <v>53</v>
      </c>
      <c r="C5" s="48">
        <f>'Mountain View 1'!$I$58</f>
        <v>97630</v>
      </c>
      <c r="D5" s="48">
        <f>'Indian Bay'!$H$58</f>
        <v>26310</v>
      </c>
      <c r="E5" s="48">
        <f>'Rabbit Gulch'!$G$58</f>
        <v>25300</v>
      </c>
      <c r="F5" s="48">
        <f>'Juniper Point'!$H$58</f>
        <v>16450</v>
      </c>
      <c r="G5" s="48">
        <f>'Knight Hollow'!$G$58</f>
        <v>10825</v>
      </c>
      <c r="H5" s="48">
        <f>'Strawberry River Above'!$F$58</f>
        <v>-165</v>
      </c>
      <c r="I5" s="48">
        <f>'Strawberry River Below'!$F$58</f>
        <v>125</v>
      </c>
      <c r="J5" s="48">
        <f>'Special Events'!$G$58</f>
        <v>2950</v>
      </c>
      <c r="K5" s="48">
        <f>Marketing!$F$57</f>
        <v>0</v>
      </c>
      <c r="L5" s="48">
        <f>SUM(C5:K5)</f>
        <v>179425</v>
      </c>
    </row>
    <row r="6" spans="2:12" ht="12.75">
      <c r="B6" s="25" t="s">
        <v>54</v>
      </c>
      <c r="C6" s="50">
        <f>'Mountain View 1'!$I$59</f>
        <v>3290000</v>
      </c>
      <c r="D6" s="50">
        <f>'Indian Bay'!$H$59</f>
        <v>579000</v>
      </c>
      <c r="E6" s="50">
        <f>'Rabbit Gulch'!$G$59</f>
        <v>434000</v>
      </c>
      <c r="F6" s="50">
        <f>'Juniper Point'!$H$59</f>
        <v>278000</v>
      </c>
      <c r="G6" s="50">
        <f>'Knight Hollow'!$G$59</f>
        <v>194000</v>
      </c>
      <c r="H6" s="50">
        <f>'Strawberry River Above'!$F$59</f>
        <v>38000</v>
      </c>
      <c r="I6" s="50">
        <f>'Strawberry River Below'!$F$59</f>
        <v>43000</v>
      </c>
      <c r="J6" s="50">
        <f>'Special Events'!$G$59</f>
        <v>3000</v>
      </c>
      <c r="K6" s="50">
        <f>Marketing!$F$58</f>
        <v>6000</v>
      </c>
      <c r="L6" s="50">
        <f>SUM(C6:K6)</f>
        <v>4865000</v>
      </c>
    </row>
    <row r="7" spans="2:12" ht="12.75">
      <c r="B7" s="25" t="s">
        <v>55</v>
      </c>
      <c r="C7" s="20">
        <f>'Mountain View 1'!$I$60</f>
        <v>33.69865819932398</v>
      </c>
      <c r="D7" s="20">
        <f>'Indian Bay'!$H$60</f>
        <v>22.006841505131128</v>
      </c>
      <c r="E7" s="20">
        <f>'Rabbit Gulch'!$G$60</f>
        <v>17.154150197628457</v>
      </c>
      <c r="F7" s="20">
        <f>'Juniper Point'!$H$60</f>
        <v>16.89969604863222</v>
      </c>
      <c r="G7" s="20">
        <f>'Knight Hollow'!$G$60</f>
        <v>17.92147806004619</v>
      </c>
      <c r="H7" s="20">
        <f>'Strawberry River Above'!$F$60</f>
        <v>-230.3030303030303</v>
      </c>
      <c r="I7" s="20">
        <f>'Strawberry River Below'!$F$60</f>
        <v>344</v>
      </c>
      <c r="J7" s="20">
        <f>'Special Events'!$G$60</f>
        <v>1.0169491525423728</v>
      </c>
      <c r="K7" s="20">
        <f>Marketing!$F$59</f>
        <v>0</v>
      </c>
      <c r="L7" s="20">
        <f>L6/L5</f>
        <v>27.114393200501603</v>
      </c>
    </row>
    <row r="8" spans="2:12" ht="12.75">
      <c r="B8" s="25" t="s">
        <v>80</v>
      </c>
      <c r="C8" s="32">
        <f>'Mountain View 1'!$I$61</f>
        <v>0.029674772036474163</v>
      </c>
      <c r="D8" s="32">
        <f>'Indian Bay'!$H$61</f>
        <v>0.04544041450777202</v>
      </c>
      <c r="E8" s="32">
        <f>'Rabbit Gulch'!$G$61</f>
        <v>0.05829493087557604</v>
      </c>
      <c r="F8" s="32">
        <f>'Juniper Point'!$H$61</f>
        <v>0.059172661870503594</v>
      </c>
      <c r="G8" s="32">
        <f>'Knight Hollow'!$G$61</f>
        <v>0.05579896907216495</v>
      </c>
      <c r="H8" s="32">
        <f>'Strawberry River Above'!$F$61</f>
        <v>-0.0043421052631578945</v>
      </c>
      <c r="I8" s="32">
        <f>'Strawberry River Below'!$F$61</f>
        <v>0.0029069767441860465</v>
      </c>
      <c r="J8" s="32">
        <f>'Special Events'!$G$61</f>
        <v>0.9833333333333333</v>
      </c>
      <c r="K8" s="32">
        <f>Marketing!$F$60</f>
        <v>0</v>
      </c>
      <c r="L8" s="32"/>
    </row>
    <row r="9" spans="2:12" ht="12.75">
      <c r="B9" s="25" t="s">
        <v>81</v>
      </c>
      <c r="C9" s="32">
        <f>'Mountain View 1'!$I$62</f>
        <v>-0.007342403981429071</v>
      </c>
      <c r="D9" s="32">
        <f>'Indian Bay'!$H$62</f>
        <v>0.021281323955422274</v>
      </c>
      <c r="E9" s="32">
        <f>'Rabbit Gulch'!$G$62</f>
        <v>0.04066072890010512</v>
      </c>
      <c r="F9" s="32">
        <f>'Juniper Point'!$H$62</f>
        <v>0.04190152740199424</v>
      </c>
      <c r="G9" s="32">
        <f>'Knight Hollow'!$G$62</f>
        <v>0.03708221088643525</v>
      </c>
      <c r="H9" s="32">
        <f>'Strawberry River Above'!$F$62</f>
        <v>-0.0043421052631578945</v>
      </c>
      <c r="I9" s="32">
        <f>'Strawberry River Below'!$F$62</f>
        <v>-0.11648062526668104</v>
      </c>
      <c r="J9" s="32">
        <f>'Special Events'!$G$62</f>
        <v>-0.016666666666665705</v>
      </c>
      <c r="K9" s="32">
        <f>Marketing!$F$61</f>
        <v>0</v>
      </c>
      <c r="L9" s="32"/>
    </row>
    <row r="10" spans="2:12" ht="12.75">
      <c r="B10" s="25" t="s">
        <v>79</v>
      </c>
      <c r="C10" s="60">
        <f>'Mountain View 1'!$I$63</f>
        <v>-1326000</v>
      </c>
      <c r="D10" s="60">
        <f>'Indian Bay'!$H$63</f>
        <v>-50000</v>
      </c>
      <c r="E10" s="60">
        <f>'Rabbit Gulch'!$G$63</f>
        <v>75000</v>
      </c>
      <c r="F10" s="60">
        <f>'Juniper Point'!$H$63</f>
        <v>53000</v>
      </c>
      <c r="G10" s="60">
        <f>'Knight Hollow'!$G$63</f>
        <v>24000</v>
      </c>
      <c r="H10" s="60">
        <f>'Strawberry River Above'!$F$63</f>
        <v>-41000</v>
      </c>
      <c r="I10" s="60">
        <f>'Strawberry River Below'!$F$63</f>
        <v>-40000</v>
      </c>
      <c r="J10" s="60">
        <f>'Special Events'!$G$63</f>
        <v>0</v>
      </c>
      <c r="K10" s="60">
        <f>Marketing!$F$62</f>
        <v>-6000</v>
      </c>
      <c r="L10" s="60">
        <f>SUM(C10:K10)</f>
        <v>-1311000</v>
      </c>
    </row>
    <row r="11" spans="2:12" ht="12.75">
      <c r="B11" s="25" t="s">
        <v>132</v>
      </c>
      <c r="C11" s="48">
        <f>'Mountain View 1'!$I$67</f>
        <v>204213.1262144032</v>
      </c>
      <c r="D11" s="48">
        <f>'Indian Bay'!$H$67</f>
        <v>48131.6018474588</v>
      </c>
      <c r="E11" s="48">
        <f>'Rabbit Gulch'!$G$67</f>
        <v>38573.774096368084</v>
      </c>
      <c r="F11" s="48">
        <f>'Juniper Point'!$H$67</f>
        <v>23769.14561933255</v>
      </c>
      <c r="G11" s="48">
        <f>'Knight Hollow'!$G$67</f>
        <v>19218.57643939034</v>
      </c>
      <c r="H11" s="48">
        <f>'Strawberry River Above'!$F$67</f>
        <v>3313.9479623548086</v>
      </c>
      <c r="I11" s="48">
        <f>'Strawberry River Below'!$F$67</f>
        <v>4112.493746875179</v>
      </c>
      <c r="J11" s="48">
        <f>'Special Events'!$G$67</f>
        <v>6233.999999999997</v>
      </c>
      <c r="K11" s="48">
        <f>Marketing!$F$66</f>
        <v>6167.9999999999945</v>
      </c>
      <c r="L11" s="48">
        <f>SUM(C11:K11)</f>
        <v>353734.665926183</v>
      </c>
    </row>
    <row r="13" spans="1:12" ht="13.5" thickBot="1">
      <c r="A13" s="26" t="s">
        <v>133</v>
      </c>
      <c r="B13" s="27" t="s">
        <v>68</v>
      </c>
      <c r="C13" s="47" t="s">
        <v>135</v>
      </c>
      <c r="D13" s="47" t="s">
        <v>123</v>
      </c>
      <c r="E13" s="47" t="s">
        <v>125</v>
      </c>
      <c r="F13" s="47" t="s">
        <v>126</v>
      </c>
      <c r="G13" s="47" t="s">
        <v>127</v>
      </c>
      <c r="H13" s="47" t="s">
        <v>128</v>
      </c>
      <c r="I13" s="47" t="s">
        <v>129</v>
      </c>
      <c r="J13" s="47" t="s">
        <v>130</v>
      </c>
      <c r="K13" s="47" t="s">
        <v>131</v>
      </c>
      <c r="L13" s="47" t="s">
        <v>42</v>
      </c>
    </row>
    <row r="14" spans="2:12" ht="12.75">
      <c r="B14" s="25" t="s">
        <v>53</v>
      </c>
      <c r="C14" s="48">
        <f>'Mountain View 2'!$K$58</f>
        <v>239160</v>
      </c>
      <c r="D14" s="48">
        <f>'Indian Bay'!$H$58</f>
        <v>26310</v>
      </c>
      <c r="E14" s="48">
        <f>'Rabbit Gulch'!$G$58</f>
        <v>25300</v>
      </c>
      <c r="F14" s="48">
        <f>'Juniper Point'!$H$58</f>
        <v>16450</v>
      </c>
      <c r="G14" s="48">
        <f>'Knight Hollow'!$G$58</f>
        <v>10825</v>
      </c>
      <c r="H14" s="48">
        <f>'Strawberry River Above'!$F$58</f>
        <v>-165</v>
      </c>
      <c r="I14" s="48">
        <f>'Strawberry River Below'!$F$58</f>
        <v>125</v>
      </c>
      <c r="J14" s="48">
        <f>'Special Events'!$G$58</f>
        <v>2950</v>
      </c>
      <c r="K14" s="48">
        <f>Marketing!$F$57</f>
        <v>0</v>
      </c>
      <c r="L14" s="48">
        <f>SUM(C14:K14)</f>
        <v>320955</v>
      </c>
    </row>
    <row r="15" spans="2:12" ht="12.75">
      <c r="B15" s="25" t="s">
        <v>54</v>
      </c>
      <c r="C15" s="50">
        <f>'Mountain View 2'!$K$59</f>
        <v>4666000</v>
      </c>
      <c r="D15" s="50">
        <f>'Indian Bay'!$H$59</f>
        <v>579000</v>
      </c>
      <c r="E15" s="50">
        <f>'Rabbit Gulch'!$G$59</f>
        <v>434000</v>
      </c>
      <c r="F15" s="50">
        <f>'Juniper Point'!$H$59</f>
        <v>278000</v>
      </c>
      <c r="G15" s="50">
        <f>'Knight Hollow'!$G$59</f>
        <v>194000</v>
      </c>
      <c r="H15" s="50">
        <f>'Strawberry River Above'!$F$59</f>
        <v>38000</v>
      </c>
      <c r="I15" s="50">
        <f>'Strawberry River Below'!$F$59</f>
        <v>43000</v>
      </c>
      <c r="J15" s="50">
        <f>'Special Events'!$G$59</f>
        <v>3000</v>
      </c>
      <c r="K15" s="50">
        <f>Marketing!$F$58</f>
        <v>6000</v>
      </c>
      <c r="L15" s="50">
        <f>SUM(C15:K15)</f>
        <v>6241000</v>
      </c>
    </row>
    <row r="16" spans="2:12" ht="12.75">
      <c r="B16" s="25" t="s">
        <v>55</v>
      </c>
      <c r="C16" s="20">
        <f>'Mountain View 2'!$K$60</f>
        <v>19.50995149690584</v>
      </c>
      <c r="D16" s="20">
        <f>'Indian Bay'!$H$60</f>
        <v>22.006841505131128</v>
      </c>
      <c r="E16" s="20">
        <f>'Rabbit Gulch'!$G$60</f>
        <v>17.154150197628457</v>
      </c>
      <c r="F16" s="20">
        <f>'Juniper Point'!$H$60</f>
        <v>16.89969604863222</v>
      </c>
      <c r="G16" s="20">
        <f>'Knight Hollow'!$G$60</f>
        <v>17.92147806004619</v>
      </c>
      <c r="H16" s="20">
        <f>'Strawberry River Above'!$F$60</f>
        <v>-230.3030303030303</v>
      </c>
      <c r="I16" s="20">
        <f>'Strawberry River Below'!$F$60</f>
        <v>344</v>
      </c>
      <c r="J16" s="20">
        <f>'Special Events'!$G$60</f>
        <v>1.0169491525423728</v>
      </c>
      <c r="K16" s="20">
        <f>Marketing!$F$59</f>
        <v>0</v>
      </c>
      <c r="L16" s="20">
        <f>L15/L14</f>
        <v>19.445093548939884</v>
      </c>
    </row>
    <row r="17" spans="2:12" ht="12.75">
      <c r="B17" s="25" t="s">
        <v>80</v>
      </c>
      <c r="C17" s="32">
        <f>'Mountain View 2'!$K$61</f>
        <v>0.05125589369909987</v>
      </c>
      <c r="D17" s="32">
        <f>'Indian Bay'!$H$61</f>
        <v>0.04544041450777202</v>
      </c>
      <c r="E17" s="32">
        <f>'Rabbit Gulch'!$G$61</f>
        <v>0.05829493087557604</v>
      </c>
      <c r="F17" s="32">
        <f>'Juniper Point'!$H$61</f>
        <v>0.059172661870503594</v>
      </c>
      <c r="G17" s="32">
        <f>'Knight Hollow'!$G$61</f>
        <v>0.05579896907216495</v>
      </c>
      <c r="H17" s="32">
        <f>'Strawberry River Above'!$F$61</f>
        <v>-0.0043421052631578945</v>
      </c>
      <c r="I17" s="32">
        <f>'Strawberry River Below'!$F$61</f>
        <v>0.0029069767441860465</v>
      </c>
      <c r="J17" s="32">
        <f>'Special Events'!$G$61</f>
        <v>0.9833333333333333</v>
      </c>
      <c r="K17" s="32">
        <f>Marketing!$F$60</f>
        <v>0</v>
      </c>
      <c r="L17" s="32"/>
    </row>
    <row r="18" spans="2:12" ht="12.75">
      <c r="B18" s="25" t="s">
        <v>81</v>
      </c>
      <c r="C18" s="32">
        <f>'Mountain View 2'!$K$62</f>
        <v>0.03035838447564659</v>
      </c>
      <c r="D18" s="32">
        <f>'Indian Bay'!$H$62</f>
        <v>0.021281323955422274</v>
      </c>
      <c r="E18" s="32">
        <f>'Rabbit Gulch'!$G$62</f>
        <v>0.04066072890010512</v>
      </c>
      <c r="F18" s="32">
        <f>'Juniper Point'!$H$62</f>
        <v>0.04190152740199424</v>
      </c>
      <c r="G18" s="32">
        <f>'Knight Hollow'!$G$62</f>
        <v>0.03708221088643525</v>
      </c>
      <c r="H18" s="32">
        <f>'Strawberry River Above'!$F$62</f>
        <v>-0.0043421052631578945</v>
      </c>
      <c r="I18" s="32">
        <f>'Strawberry River Below'!$F$62</f>
        <v>-0.11648062526668104</v>
      </c>
      <c r="J18" s="32">
        <f>'Special Events'!$G$62</f>
        <v>-0.016666666666665705</v>
      </c>
      <c r="K18" s="32">
        <f>Marketing!$F$61</f>
        <v>0</v>
      </c>
      <c r="L18" s="32"/>
    </row>
    <row r="19" spans="2:12" ht="12.75">
      <c r="B19" s="25" t="s">
        <v>79</v>
      </c>
      <c r="C19" s="60">
        <f>'Mountain View 2'!$K$63</f>
        <v>145000</v>
      </c>
      <c r="D19" s="60">
        <f>'Indian Bay'!$H$63</f>
        <v>-50000</v>
      </c>
      <c r="E19" s="60">
        <f>'Rabbit Gulch'!$G$63</f>
        <v>75000</v>
      </c>
      <c r="F19" s="60">
        <f>'Juniper Point'!$H$63</f>
        <v>53000</v>
      </c>
      <c r="G19" s="60">
        <f>'Knight Hollow'!$G$63</f>
        <v>24000</v>
      </c>
      <c r="H19" s="60">
        <f>'Strawberry River Above'!$F$63</f>
        <v>-41000</v>
      </c>
      <c r="I19" s="60">
        <f>'Strawberry River Below'!$F$63</f>
        <v>-40000</v>
      </c>
      <c r="J19" s="60">
        <f>'Special Events'!$G$63</f>
        <v>0</v>
      </c>
      <c r="K19" s="60">
        <f>Marketing!$F$62</f>
        <v>-6000</v>
      </c>
      <c r="L19" s="60">
        <f>SUM(C19:K19)</f>
        <v>160000</v>
      </c>
    </row>
    <row r="20" spans="2:12" ht="12.75">
      <c r="B20" s="25" t="s">
        <v>132</v>
      </c>
      <c r="C20" s="48">
        <f>'Mountain View 2'!$K$67</f>
        <v>534282.9261144089</v>
      </c>
      <c r="D20" s="48">
        <f>'Indian Bay'!$H$67</f>
        <v>48131.6018474588</v>
      </c>
      <c r="E20" s="48">
        <f>'Rabbit Gulch'!$G$67</f>
        <v>38573.774096368084</v>
      </c>
      <c r="F20" s="48">
        <f>'Juniper Point'!$H$67</f>
        <v>23769.14561933255</v>
      </c>
      <c r="G20" s="48">
        <f>'Knight Hollow'!$G$67</f>
        <v>19218.57643939034</v>
      </c>
      <c r="H20" s="48">
        <f>'Strawberry River Above'!$F$67</f>
        <v>3313.9479623548086</v>
      </c>
      <c r="I20" s="48">
        <f>'Strawberry River Below'!$F$67</f>
        <v>4112.493746875179</v>
      </c>
      <c r="J20" s="48">
        <f>'Special Events'!$G$67</f>
        <v>6233.999999999997</v>
      </c>
      <c r="K20" s="48">
        <f>Marketing!$F$66</f>
        <v>6167.9999999999945</v>
      </c>
      <c r="L20" s="48">
        <f>SUM(C20:K20)</f>
        <v>683804.4658261886</v>
      </c>
    </row>
    <row r="22" spans="1:12" ht="13.5" thickBot="1">
      <c r="A22" s="26" t="s">
        <v>134</v>
      </c>
      <c r="B22" s="27" t="s">
        <v>68</v>
      </c>
      <c r="C22" s="47" t="s">
        <v>136</v>
      </c>
      <c r="D22" s="47" t="s">
        <v>123</v>
      </c>
      <c r="E22" s="47" t="s">
        <v>125</v>
      </c>
      <c r="F22" s="47" t="s">
        <v>126</v>
      </c>
      <c r="G22" s="47" t="s">
        <v>127</v>
      </c>
      <c r="H22" s="47" t="s">
        <v>128</v>
      </c>
      <c r="I22" s="47" t="s">
        <v>129</v>
      </c>
      <c r="J22" s="47" t="s">
        <v>130</v>
      </c>
      <c r="K22" s="47" t="s">
        <v>131</v>
      </c>
      <c r="L22" s="47" t="s">
        <v>42</v>
      </c>
    </row>
    <row r="23" spans="2:12" ht="12.75">
      <c r="B23" s="25" t="s">
        <v>53</v>
      </c>
      <c r="C23" s="48">
        <f>'Mountain View 3'!$J$58</f>
        <v>262900</v>
      </c>
      <c r="D23" s="48">
        <f>'Indian Bay'!$H$58</f>
        <v>26310</v>
      </c>
      <c r="E23" s="48">
        <f>'Rabbit Gulch'!$G$58</f>
        <v>25300</v>
      </c>
      <c r="F23" s="48">
        <f>'Juniper Point'!$H$58</f>
        <v>16450</v>
      </c>
      <c r="G23" s="48">
        <f>'Knight Hollow'!$G$58</f>
        <v>10825</v>
      </c>
      <c r="H23" s="48">
        <f>'Strawberry River Above'!$F$58</f>
        <v>-165</v>
      </c>
      <c r="I23" s="48">
        <f>'Strawberry River Below'!$F$58</f>
        <v>125</v>
      </c>
      <c r="J23" s="48">
        <f>'Special Events'!$G$58</f>
        <v>2950</v>
      </c>
      <c r="K23" s="48">
        <f>Marketing!$F$57</f>
        <v>0</v>
      </c>
      <c r="L23" s="48">
        <f>SUM(C23:K23)</f>
        <v>344695</v>
      </c>
    </row>
    <row r="24" spans="2:12" ht="12.75">
      <c r="B24" s="25" t="s">
        <v>54</v>
      </c>
      <c r="C24" s="50">
        <f>'Mountain View 3'!$J$59</f>
        <v>4667000</v>
      </c>
      <c r="D24" s="50">
        <f>'Indian Bay'!$H$59</f>
        <v>579000</v>
      </c>
      <c r="E24" s="50">
        <f>'Rabbit Gulch'!$G$59</f>
        <v>434000</v>
      </c>
      <c r="F24" s="50">
        <f>'Juniper Point'!$H$59</f>
        <v>278000</v>
      </c>
      <c r="G24" s="50">
        <f>'Knight Hollow'!$G$59</f>
        <v>194000</v>
      </c>
      <c r="H24" s="50">
        <f>'Strawberry River Above'!$F$59</f>
        <v>38000</v>
      </c>
      <c r="I24" s="50">
        <f>'Strawberry River Below'!$F$59</f>
        <v>43000</v>
      </c>
      <c r="J24" s="50">
        <f>'Special Events'!$G$59</f>
        <v>3000</v>
      </c>
      <c r="K24" s="50">
        <f>Marketing!$F$58</f>
        <v>6000</v>
      </c>
      <c r="L24" s="50">
        <f>SUM(C24:K24)</f>
        <v>6242000</v>
      </c>
    </row>
    <row r="25" spans="2:12" ht="12.75">
      <c r="B25" s="25" t="s">
        <v>55</v>
      </c>
      <c r="C25" s="20">
        <f>'Mountain View 3'!$J$60</f>
        <v>17.751996957017877</v>
      </c>
      <c r="D25" s="20">
        <f>'Indian Bay'!$H$60</f>
        <v>22.006841505131128</v>
      </c>
      <c r="E25" s="20">
        <f>'Rabbit Gulch'!$G$60</f>
        <v>17.154150197628457</v>
      </c>
      <c r="F25" s="20">
        <f>'Juniper Point'!$H$60</f>
        <v>16.89969604863222</v>
      </c>
      <c r="G25" s="20">
        <f>'Knight Hollow'!$G$60</f>
        <v>17.92147806004619</v>
      </c>
      <c r="H25" s="20">
        <f>'Strawberry River Above'!$F$60</f>
        <v>-230.3030303030303</v>
      </c>
      <c r="I25" s="20">
        <f>'Strawberry River Below'!$F$60</f>
        <v>344</v>
      </c>
      <c r="J25" s="20">
        <f>'Special Events'!$G$60</f>
        <v>1.0169491525423728</v>
      </c>
      <c r="K25" s="20">
        <f>Marketing!$F$59</f>
        <v>0</v>
      </c>
      <c r="L25" s="20">
        <f>L24/L23</f>
        <v>18.108762819304022</v>
      </c>
    </row>
    <row r="26" spans="2:12" ht="12.75">
      <c r="B26" s="25" t="s">
        <v>80</v>
      </c>
      <c r="C26" s="32">
        <f>'Mountain View 3'!$J$61</f>
        <v>0.056331690593529035</v>
      </c>
      <c r="D26" s="32">
        <f>'Indian Bay'!$H$61</f>
        <v>0.04544041450777202</v>
      </c>
      <c r="E26" s="32">
        <f>'Rabbit Gulch'!$G$61</f>
        <v>0.05829493087557604</v>
      </c>
      <c r="F26" s="32">
        <f>'Juniper Point'!$H$61</f>
        <v>0.059172661870503594</v>
      </c>
      <c r="G26" s="32">
        <f>'Knight Hollow'!$G$61</f>
        <v>0.05579896907216495</v>
      </c>
      <c r="H26" s="32">
        <f>'Strawberry River Above'!$F$61</f>
        <v>-0.0043421052631578945</v>
      </c>
      <c r="I26" s="32">
        <f>'Strawberry River Below'!$F$61</f>
        <v>0.0029069767441860465</v>
      </c>
      <c r="J26" s="32">
        <f>'Special Events'!$G$61</f>
        <v>0.9833333333333333</v>
      </c>
      <c r="K26" s="32">
        <f>Marketing!$F$60</f>
        <v>0</v>
      </c>
      <c r="L26" s="32"/>
    </row>
    <row r="27" spans="2:12" ht="12.75">
      <c r="B27" s="25" t="s">
        <v>81</v>
      </c>
      <c r="C27" s="32">
        <f>'Mountain View 3'!$J$62</f>
        <v>0.037852429987232684</v>
      </c>
      <c r="D27" s="32">
        <f>'Indian Bay'!$H$62</f>
        <v>0.021281323955422274</v>
      </c>
      <c r="E27" s="32">
        <f>'Rabbit Gulch'!$G$62</f>
        <v>0.04066072890010512</v>
      </c>
      <c r="F27" s="32">
        <f>'Juniper Point'!$H$62</f>
        <v>0.04190152740199424</v>
      </c>
      <c r="G27" s="32">
        <f>'Knight Hollow'!$G$62</f>
        <v>0.03708221088643525</v>
      </c>
      <c r="H27" s="32">
        <f>'Strawberry River Above'!$F$62</f>
        <v>-0.0043421052631578945</v>
      </c>
      <c r="I27" s="32">
        <f>'Strawberry River Below'!$F$62</f>
        <v>-0.11648062526668104</v>
      </c>
      <c r="J27" s="32">
        <f>'Special Events'!$G$62</f>
        <v>-0.016666666666665705</v>
      </c>
      <c r="K27" s="32">
        <f>Marketing!$F$61</f>
        <v>0</v>
      </c>
      <c r="L27" s="32"/>
    </row>
    <row r="28" spans="2:12" ht="12.75">
      <c r="B28" s="25" t="s">
        <v>79</v>
      </c>
      <c r="C28" s="60">
        <f>'Mountain View 3'!$J$63</f>
        <v>622000</v>
      </c>
      <c r="D28" s="60">
        <f>'Indian Bay'!$H$63</f>
        <v>-50000</v>
      </c>
      <c r="E28" s="60">
        <f>'Rabbit Gulch'!$G$63</f>
        <v>75000</v>
      </c>
      <c r="F28" s="60">
        <f>'Juniper Point'!$H$63</f>
        <v>53000</v>
      </c>
      <c r="G28" s="60">
        <f>'Knight Hollow'!$G$63</f>
        <v>24000</v>
      </c>
      <c r="H28" s="60">
        <f>'Strawberry River Above'!$F$63</f>
        <v>-41000</v>
      </c>
      <c r="I28" s="60">
        <f>'Strawberry River Below'!$F$63</f>
        <v>-40000</v>
      </c>
      <c r="J28" s="60">
        <f>'Special Events'!$G$63</f>
        <v>0</v>
      </c>
      <c r="K28" s="60">
        <f>Marketing!$F$62</f>
        <v>-6000</v>
      </c>
      <c r="L28" s="60">
        <f>SUM(C28:K28)</f>
        <v>637000</v>
      </c>
    </row>
    <row r="29" spans="2:12" ht="12.75">
      <c r="B29" s="25" t="s">
        <v>132</v>
      </c>
      <c r="C29" s="48">
        <f>'Mountain View 3'!$J$67</f>
        <v>648592.635271313</v>
      </c>
      <c r="D29" s="48">
        <f>'Indian Bay'!$H$67</f>
        <v>48131.6018474588</v>
      </c>
      <c r="E29" s="48">
        <f>'Rabbit Gulch'!$G$67</f>
        <v>38573.774096368084</v>
      </c>
      <c r="F29" s="48">
        <f>'Juniper Point'!$H$67</f>
        <v>23769.14561933255</v>
      </c>
      <c r="G29" s="48">
        <f>'Knight Hollow'!$G$67</f>
        <v>19218.57643939034</v>
      </c>
      <c r="H29" s="48">
        <f>'Strawberry River Above'!$F$67</f>
        <v>3313.9479623548086</v>
      </c>
      <c r="I29" s="48">
        <f>'Strawberry River Below'!$F$67</f>
        <v>4112.493746875179</v>
      </c>
      <c r="J29" s="48">
        <f>'Special Events'!$G$67</f>
        <v>6233.999999999997</v>
      </c>
      <c r="K29" s="48">
        <f>Marketing!$F$66</f>
        <v>6167.9999999999945</v>
      </c>
      <c r="L29" s="48">
        <f>SUM(C29:K29)</f>
        <v>798114.1749830927</v>
      </c>
    </row>
  </sheetData>
  <sheetProtection/>
  <protectedRanges>
    <protectedRange sqref="A1:F3" name="Title"/>
  </protectedRanges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25" sqref="E25"/>
    </sheetView>
  </sheetViews>
  <sheetFormatPr defaultColWidth="9.140625" defaultRowHeight="12.75"/>
  <cols>
    <col min="1" max="1" width="25.57421875" style="0" bestFit="1" customWidth="1"/>
    <col min="2" max="2" width="12.421875" style="0" bestFit="1" customWidth="1"/>
    <col min="3" max="3" width="14.8515625" style="0" bestFit="1" customWidth="1"/>
    <col min="4" max="4" width="8.57421875" style="0" bestFit="1" customWidth="1"/>
    <col min="5" max="5" width="7.00390625" style="0" bestFit="1" customWidth="1"/>
    <col min="6" max="6" width="7.57421875" style="0" bestFit="1" customWidth="1"/>
    <col min="7" max="7" width="9.57421875" style="0" bestFit="1" customWidth="1"/>
    <col min="8" max="8" width="11.57421875" style="0" bestFit="1" customWidth="1"/>
    <col min="9" max="9" width="22.140625" style="0" bestFit="1" customWidth="1"/>
    <col min="10" max="10" width="11.7109375" style="0" bestFit="1" customWidth="1"/>
  </cols>
  <sheetData>
    <row r="1" spans="1:8" ht="15.75">
      <c r="A1" s="108" t="s">
        <v>173</v>
      </c>
      <c r="B1" s="108"/>
      <c r="C1" s="108"/>
      <c r="D1" s="108"/>
      <c r="E1" s="108"/>
      <c r="F1" s="108"/>
      <c r="G1" s="108"/>
      <c r="H1" s="108"/>
    </row>
    <row r="2" spans="1:8" ht="15">
      <c r="A2" s="109" t="s">
        <v>190</v>
      </c>
      <c r="B2" s="109"/>
      <c r="C2" s="109"/>
      <c r="D2" s="109"/>
      <c r="E2" s="109"/>
      <c r="F2" s="109"/>
      <c r="G2" s="109"/>
      <c r="H2" s="109"/>
    </row>
    <row r="4" spans="1:8" ht="12.75">
      <c r="A4" s="94" t="s">
        <v>157</v>
      </c>
      <c r="B4" s="94" t="s">
        <v>53</v>
      </c>
      <c r="C4" s="94" t="s">
        <v>54</v>
      </c>
      <c r="D4" s="94" t="s">
        <v>152</v>
      </c>
      <c r="E4" s="94" t="s">
        <v>153</v>
      </c>
      <c r="F4" s="94" t="s">
        <v>154</v>
      </c>
      <c r="G4" s="94" t="s">
        <v>155</v>
      </c>
      <c r="H4" s="94" t="s">
        <v>156</v>
      </c>
    </row>
    <row r="5" spans="1:8" ht="12.75">
      <c r="A5" s="95" t="s">
        <v>135</v>
      </c>
      <c r="B5" s="96">
        <f>'Mountain View 2'!$K$58</f>
        <v>239160</v>
      </c>
      <c r="C5" s="97">
        <f>'Mountain View 2'!$K$59</f>
        <v>4666000</v>
      </c>
      <c r="D5" s="98">
        <f>'Mountain View 2'!$K$60</f>
        <v>19.50995149690584</v>
      </c>
      <c r="E5" s="99">
        <f>'Mountain View 2'!$K$61</f>
        <v>0.05125589369909987</v>
      </c>
      <c r="F5" s="99">
        <f>'Mountain View 2'!$K$62</f>
        <v>0.03035838447564659</v>
      </c>
      <c r="G5" s="100">
        <f>'Mountain View 2'!$K$63</f>
        <v>145000</v>
      </c>
      <c r="H5" s="96">
        <f>'Mountain View 2'!$K$67</f>
        <v>534282.9261144089</v>
      </c>
    </row>
    <row r="6" spans="1:8" ht="12.75">
      <c r="A6" s="95" t="s">
        <v>123</v>
      </c>
      <c r="B6" s="96">
        <f>'Indian Bay'!$H$58</f>
        <v>26310</v>
      </c>
      <c r="C6" s="97">
        <f>'Indian Bay'!$H$59</f>
        <v>579000</v>
      </c>
      <c r="D6" s="98">
        <f>'Indian Bay'!$H$60</f>
        <v>22.006841505131128</v>
      </c>
      <c r="E6" s="99">
        <f>'Indian Bay'!$H$61</f>
        <v>0.04544041450777202</v>
      </c>
      <c r="F6" s="99">
        <f>'Indian Bay'!$H$62</f>
        <v>0.021281323955422274</v>
      </c>
      <c r="G6" s="100">
        <f>'Indian Bay'!$H$63</f>
        <v>-50000</v>
      </c>
      <c r="H6" s="96">
        <f>'Indian Bay'!$H$67</f>
        <v>48131.6018474588</v>
      </c>
    </row>
    <row r="7" spans="1:8" ht="12.75">
      <c r="A7" s="95" t="s">
        <v>125</v>
      </c>
      <c r="B7" s="96">
        <f>'Rabbit Gulch'!$G$58</f>
        <v>25300</v>
      </c>
      <c r="C7" s="97">
        <f>'Rabbit Gulch'!$G$59</f>
        <v>434000</v>
      </c>
      <c r="D7" s="98">
        <f>'Rabbit Gulch'!$G$60</f>
        <v>17.154150197628457</v>
      </c>
      <c r="E7" s="99">
        <f>'Rabbit Gulch'!$G$61</f>
        <v>0.05829493087557604</v>
      </c>
      <c r="F7" s="99">
        <f>'Rabbit Gulch'!$G$62</f>
        <v>0.04066072890010512</v>
      </c>
      <c r="G7" s="100">
        <f>'Rabbit Gulch'!$G$63</f>
        <v>75000</v>
      </c>
      <c r="H7" s="96">
        <f>'Rabbit Gulch'!$G$67</f>
        <v>38573.774096368084</v>
      </c>
    </row>
    <row r="8" spans="1:8" ht="12.75">
      <c r="A8" s="95" t="s">
        <v>126</v>
      </c>
      <c r="B8" s="96">
        <f>'Juniper Point'!$H$58</f>
        <v>16450</v>
      </c>
      <c r="C8" s="97">
        <f>'Juniper Point'!$H$59</f>
        <v>278000</v>
      </c>
      <c r="D8" s="98">
        <f>'Juniper Point'!$H$60</f>
        <v>16.89969604863222</v>
      </c>
      <c r="E8" s="99">
        <f>'Juniper Point'!$H$61</f>
        <v>0.059172661870503594</v>
      </c>
      <c r="F8" s="99">
        <f>'Juniper Point'!$H$62</f>
        <v>0.04190152740199424</v>
      </c>
      <c r="G8" s="100">
        <f>'Juniper Point'!$H$63</f>
        <v>53000</v>
      </c>
      <c r="H8" s="96">
        <f>'Juniper Point'!$H$67</f>
        <v>23769.14561933255</v>
      </c>
    </row>
    <row r="9" spans="1:8" ht="12.75">
      <c r="A9" s="95" t="s">
        <v>127</v>
      </c>
      <c r="B9" s="96">
        <f>'Knight Hollow'!$G$58</f>
        <v>10825</v>
      </c>
      <c r="C9" s="97">
        <f>'Knight Hollow'!$G$59</f>
        <v>194000</v>
      </c>
      <c r="D9" s="98">
        <f>'Knight Hollow'!$G$60</f>
        <v>17.92147806004619</v>
      </c>
      <c r="E9" s="99">
        <f>'Knight Hollow'!$G$61</f>
        <v>0.05579896907216495</v>
      </c>
      <c r="F9" s="99">
        <f>'Knight Hollow'!$G$62</f>
        <v>0.03708221088643525</v>
      </c>
      <c r="G9" s="100">
        <f>'Knight Hollow'!$G$63</f>
        <v>24000</v>
      </c>
      <c r="H9" s="96">
        <f>'Knight Hollow'!$G$67</f>
        <v>19218.57643939034</v>
      </c>
    </row>
    <row r="10" spans="1:8" ht="12.75">
      <c r="A10" s="95" t="s">
        <v>128</v>
      </c>
      <c r="B10" s="96">
        <f>'Strawberry River Above'!$F$58</f>
        <v>-165</v>
      </c>
      <c r="C10" s="97">
        <f>'Strawberry River Above'!$F$59</f>
        <v>38000</v>
      </c>
      <c r="D10" s="98">
        <f>'Strawberry River Above'!$F$60</f>
        <v>-230.3030303030303</v>
      </c>
      <c r="E10" s="99">
        <f>'Strawberry River Above'!$F$61</f>
        <v>-0.0043421052631578945</v>
      </c>
      <c r="F10" s="99">
        <f>'Strawberry River Above'!$F$62</f>
        <v>-0.0043421052631578945</v>
      </c>
      <c r="G10" s="100">
        <f>'Strawberry River Above'!$F$63</f>
        <v>-41000</v>
      </c>
      <c r="H10" s="96">
        <f>'Strawberry River Above'!$F$67</f>
        <v>3313.9479623548086</v>
      </c>
    </row>
    <row r="11" spans="1:8" ht="12.75">
      <c r="A11" s="95" t="s">
        <v>129</v>
      </c>
      <c r="B11" s="96">
        <f>'Strawberry River Below'!$F$58</f>
        <v>125</v>
      </c>
      <c r="C11" s="97">
        <f>'Strawberry River Below'!$F$59</f>
        <v>43000</v>
      </c>
      <c r="D11" s="98">
        <f>'Strawberry River Below'!$F$60</f>
        <v>344</v>
      </c>
      <c r="E11" s="99">
        <f>'Strawberry River Below'!$F$61</f>
        <v>0.0029069767441860465</v>
      </c>
      <c r="F11" s="99">
        <f>'Strawberry River Below'!$F$62</f>
        <v>-0.11648062526668104</v>
      </c>
      <c r="G11" s="100">
        <f>'Strawberry River Below'!$F$63</f>
        <v>-40000</v>
      </c>
      <c r="H11" s="96">
        <f>'Strawberry River Below'!$F$67</f>
        <v>4112.493746875179</v>
      </c>
    </row>
    <row r="12" spans="1:8" ht="12.75">
      <c r="A12" s="95" t="s">
        <v>130</v>
      </c>
      <c r="B12" s="96">
        <f>'Special Events'!$G$58</f>
        <v>2950</v>
      </c>
      <c r="C12" s="97">
        <f>'Special Events'!$G$59</f>
        <v>3000</v>
      </c>
      <c r="D12" s="98">
        <f>'Special Events'!$G$60</f>
        <v>1.0169491525423728</v>
      </c>
      <c r="E12" s="99">
        <f>'Special Events'!$G$61</f>
        <v>0.9833333333333333</v>
      </c>
      <c r="F12" s="99">
        <f>'Special Events'!$G$62</f>
        <v>-0.016666666666665705</v>
      </c>
      <c r="G12" s="100">
        <f>'Special Events'!$G$63</f>
        <v>0</v>
      </c>
      <c r="H12" s="96">
        <f>'Special Events'!$G$67</f>
        <v>6233.999999999997</v>
      </c>
    </row>
    <row r="13" spans="1:8" ht="12.75">
      <c r="A13" s="95" t="s">
        <v>131</v>
      </c>
      <c r="B13" s="96">
        <f>Marketing!$F$57</f>
        <v>0</v>
      </c>
      <c r="C13" s="97">
        <f>Marketing!$F$58</f>
        <v>6000</v>
      </c>
      <c r="D13" s="98">
        <f>Marketing!$F$59</f>
        <v>0</v>
      </c>
      <c r="E13" s="99">
        <f>Marketing!$F$60</f>
        <v>0</v>
      </c>
      <c r="F13" s="99">
        <f>Marketing!$F$61</f>
        <v>0</v>
      </c>
      <c r="G13" s="100">
        <f>Marketing!$F$62</f>
        <v>-6000</v>
      </c>
      <c r="H13" s="96">
        <f>Marketing!$F$66</f>
        <v>6167.9999999999945</v>
      </c>
    </row>
    <row r="14" spans="1:8" ht="12.75">
      <c r="A14" s="95" t="s">
        <v>42</v>
      </c>
      <c r="B14" s="96">
        <f>SUM(B5:B13)</f>
        <v>320955</v>
      </c>
      <c r="C14" s="97">
        <f>SUM(C5:C13)</f>
        <v>6241000</v>
      </c>
      <c r="D14" s="98">
        <f>C14/B14</f>
        <v>19.445093548939884</v>
      </c>
      <c r="E14" s="99"/>
      <c r="F14" s="99"/>
      <c r="G14" s="100">
        <f>SUM(G5:G13)</f>
        <v>160000</v>
      </c>
      <c r="H14" s="96">
        <f>SUM(H5:H13)</f>
        <v>683804.4658261886</v>
      </c>
    </row>
  </sheetData>
  <sheetProtection formatCells="0" formatColumns="0" formatRows="0" insertColumns="0" insertRows="0" insertHyperlinks="0" deleteColumns="0" deleteRows="0"/>
  <protectedRanges>
    <protectedRange sqref="A1:F2" name="Title"/>
  </protectedRanges>
  <mergeCells count="2">
    <mergeCell ref="A1:H1"/>
    <mergeCell ref="A2:H2"/>
  </mergeCells>
  <printOptions/>
  <pageMargins left="0.75" right="0.75" top="1" bottom="1" header="0.5" footer="0.5"/>
  <pageSetup firstPageNumber="22" useFirstPageNumber="1" horizontalDpi="600" verticalDpi="600" orientation="portrait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E28" sqref="E28"/>
    </sheetView>
  </sheetViews>
  <sheetFormatPr defaultColWidth="9.140625" defaultRowHeight="12.75"/>
  <cols>
    <col min="1" max="1" width="26.57421875" style="0" customWidth="1"/>
    <col min="2" max="2" width="16.28125" style="0" customWidth="1"/>
    <col min="3" max="3" width="18.00390625" style="0" customWidth="1"/>
    <col min="4" max="4" width="17.140625" style="0" bestFit="1" customWidth="1"/>
    <col min="5" max="5" width="11.28125" style="0" bestFit="1" customWidth="1"/>
    <col min="6" max="6" width="13.28125" style="0" bestFit="1" customWidth="1"/>
    <col min="7" max="8" width="19.28125" style="0" bestFit="1" customWidth="1"/>
    <col min="9" max="9" width="13.28125" style="0" bestFit="1" customWidth="1"/>
    <col min="10" max="10" width="10.421875" style="0" bestFit="1" customWidth="1"/>
  </cols>
  <sheetData>
    <row r="1" spans="1:4" ht="12.75">
      <c r="A1" s="110" t="s">
        <v>173</v>
      </c>
      <c r="B1" s="111"/>
      <c r="C1" s="111"/>
      <c r="D1" s="111"/>
    </row>
    <row r="2" spans="1:4" ht="12.75">
      <c r="A2" s="111" t="s">
        <v>177</v>
      </c>
      <c r="B2" s="111"/>
      <c r="C2" s="111"/>
      <c r="D2" s="111"/>
    </row>
    <row r="3" spans="1:3" ht="12.75">
      <c r="A3" s="81"/>
      <c r="B3" s="82"/>
      <c r="C3" s="82"/>
    </row>
    <row r="4" spans="1:4" ht="12.75">
      <c r="A4" s="91" t="s">
        <v>59</v>
      </c>
      <c r="B4" s="91" t="s">
        <v>174</v>
      </c>
      <c r="C4" s="91" t="s">
        <v>175</v>
      </c>
      <c r="D4" s="91" t="s">
        <v>176</v>
      </c>
    </row>
    <row r="5" spans="1:4" ht="12.75">
      <c r="A5" s="84"/>
      <c r="B5" s="73">
        <f>'Grand Total 1'!M6</f>
        <v>4859000</v>
      </c>
      <c r="C5" s="73">
        <f>'Grand Total 2'!M6</f>
        <v>6235000</v>
      </c>
      <c r="D5" s="75">
        <f>C5-B5</f>
        <v>1376000</v>
      </c>
    </row>
    <row r="6" spans="1:4" ht="12.75">
      <c r="A6" s="84"/>
      <c r="B6" s="73"/>
      <c r="C6" s="73"/>
      <c r="D6" s="74"/>
    </row>
    <row r="7" spans="1:4" ht="12.75">
      <c r="A7" s="85" t="s">
        <v>57</v>
      </c>
      <c r="B7" s="72"/>
      <c r="C7" s="72"/>
      <c r="D7" s="74"/>
    </row>
    <row r="8" spans="1:4" ht="12.75">
      <c r="A8" s="86" t="s">
        <v>47</v>
      </c>
      <c r="B8" s="71">
        <f>'Grand Total 1'!M9</f>
        <v>68250</v>
      </c>
      <c r="C8" s="71">
        <f>'Grand Total 2'!M9</f>
        <v>181750</v>
      </c>
      <c r="D8" s="76">
        <f aca="true" t="shared" si="0" ref="D8:D13">C8-B8</f>
        <v>113500</v>
      </c>
    </row>
    <row r="9" spans="1:4" ht="12.75">
      <c r="A9" s="87" t="s">
        <v>48</v>
      </c>
      <c r="B9" s="73">
        <f>'Grand Total 1'!M10</f>
        <v>4970</v>
      </c>
      <c r="C9" s="73">
        <f>'Grand Total 2'!M10</f>
        <v>88890</v>
      </c>
      <c r="D9" s="78">
        <f t="shared" si="0"/>
        <v>83920</v>
      </c>
    </row>
    <row r="10" spans="1:4" ht="12.75">
      <c r="A10" s="86" t="s">
        <v>49</v>
      </c>
      <c r="B10" s="71">
        <f>'Grand Total 1'!M11</f>
        <v>10425</v>
      </c>
      <c r="C10" s="71">
        <f>'Grand Total 2'!M11</f>
        <v>23725</v>
      </c>
      <c r="D10" s="76">
        <f t="shared" si="0"/>
        <v>13300</v>
      </c>
    </row>
    <row r="11" spans="1:4" ht="12.75">
      <c r="A11" s="87" t="s">
        <v>50</v>
      </c>
      <c r="B11" s="73">
        <f>'Grand Total 1'!M13</f>
        <v>2250</v>
      </c>
      <c r="C11" s="73">
        <f>'Grand Total 2'!M13</f>
        <v>9600</v>
      </c>
      <c r="D11" s="78">
        <f t="shared" si="0"/>
        <v>7350</v>
      </c>
    </row>
    <row r="12" spans="1:4" ht="12.75">
      <c r="A12" s="86" t="s">
        <v>61</v>
      </c>
      <c r="B12" s="71">
        <f>'Grand Total 1'!M14</f>
        <v>17200</v>
      </c>
      <c r="C12" s="71">
        <f>'Grand Total 2'!M14</f>
        <v>60800</v>
      </c>
      <c r="D12" s="76">
        <f t="shared" si="0"/>
        <v>43600</v>
      </c>
    </row>
    <row r="13" spans="1:4" ht="12.75">
      <c r="A13" s="88" t="s">
        <v>51</v>
      </c>
      <c r="B13" s="73">
        <f>'Grand Total 1'!M15</f>
        <v>103095</v>
      </c>
      <c r="C13" s="73">
        <f>'Grand Total 2'!M15</f>
        <v>364765</v>
      </c>
      <c r="D13" s="78">
        <f t="shared" si="0"/>
        <v>261670</v>
      </c>
    </row>
    <row r="14" spans="1:4" ht="12.75">
      <c r="A14" s="89"/>
      <c r="B14" s="72"/>
      <c r="C14" s="72"/>
      <c r="D14" s="77"/>
    </row>
    <row r="15" spans="1:4" ht="12.75">
      <c r="A15" s="85" t="s">
        <v>58</v>
      </c>
      <c r="B15" s="72"/>
      <c r="C15" s="72"/>
      <c r="D15" s="74"/>
    </row>
    <row r="16" spans="1:4" ht="12.75">
      <c r="A16" s="88" t="s">
        <v>52</v>
      </c>
      <c r="B16" s="73">
        <f>'Grand Total 1'!M18</f>
        <v>282520</v>
      </c>
      <c r="C16" s="73">
        <f>'Grand Total 2'!M18</f>
        <v>685720</v>
      </c>
      <c r="D16" s="78">
        <f>C16-B16</f>
        <v>403200</v>
      </c>
    </row>
    <row r="17" spans="1:4" ht="12.75">
      <c r="A17" s="90"/>
      <c r="B17" s="72"/>
      <c r="C17" s="72"/>
      <c r="D17" s="77"/>
    </row>
    <row r="18" spans="1:4" ht="12.75">
      <c r="A18" s="85" t="s">
        <v>68</v>
      </c>
      <c r="B18" s="72"/>
      <c r="C18" s="72"/>
      <c r="D18" s="74"/>
    </row>
    <row r="19" spans="1:4" ht="12.75">
      <c r="A19" s="87" t="s">
        <v>53</v>
      </c>
      <c r="B19" s="73">
        <f>'Grand Total 1'!M21</f>
        <v>179425</v>
      </c>
      <c r="C19" s="73">
        <f>'Grand Total 2'!M21</f>
        <v>320955</v>
      </c>
      <c r="D19" s="78">
        <f>C19-B19</f>
        <v>141530</v>
      </c>
    </row>
    <row r="20" spans="1:4" ht="12.75">
      <c r="A20" s="86" t="s">
        <v>54</v>
      </c>
      <c r="B20" s="71">
        <f>'Grand Total 1'!M22</f>
        <v>4859000</v>
      </c>
      <c r="C20" s="71">
        <f>'Grand Total 2'!M22</f>
        <v>6235000</v>
      </c>
      <c r="D20" s="76">
        <f>C20-B20</f>
        <v>1376000</v>
      </c>
    </row>
    <row r="21" spans="1:4" ht="12.75">
      <c r="A21" s="87" t="s">
        <v>55</v>
      </c>
      <c r="B21" s="79">
        <f>'Grand Total 1'!M23</f>
        <v>27.08095304444754</v>
      </c>
      <c r="C21" s="79">
        <f>'Grand Total 2'!M23</f>
        <v>19.426399339471267</v>
      </c>
      <c r="D21" s="80"/>
    </row>
    <row r="22" spans="1:4" ht="12.75">
      <c r="A22" s="87" t="s">
        <v>79</v>
      </c>
      <c r="B22" s="73">
        <f>'Grand Total 1'!M24</f>
        <v>-1305000</v>
      </c>
      <c r="C22" s="73">
        <f>'Grand Total 2'!M24</f>
        <v>166000</v>
      </c>
      <c r="D22" s="78">
        <f>C22-B22</f>
        <v>1471000</v>
      </c>
    </row>
    <row r="23" spans="1:4" ht="12.75">
      <c r="A23" s="77"/>
      <c r="B23" s="72"/>
      <c r="C23" s="72"/>
      <c r="D23" s="77"/>
    </row>
    <row r="24" spans="1:4" ht="12.75">
      <c r="A24" s="85" t="s">
        <v>60</v>
      </c>
      <c r="B24" s="72"/>
      <c r="C24" s="72"/>
      <c r="D24" s="74"/>
    </row>
    <row r="25" spans="1:4" ht="12.75">
      <c r="A25" s="90" t="s">
        <v>74</v>
      </c>
      <c r="B25" s="72">
        <f>'Grand Total 1'!M28</f>
        <v>347566.665926183</v>
      </c>
      <c r="C25" s="72">
        <f>'Grand Total 2'!M27</f>
        <v>677636.4658261886</v>
      </c>
      <c r="D25" s="78">
        <f>C25-B25</f>
        <v>330069.7999000056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7" sqref="D7"/>
    </sheetView>
  </sheetViews>
  <sheetFormatPr defaultColWidth="9.140625" defaultRowHeight="12.75"/>
  <cols>
    <col min="1" max="1" width="27.140625" style="0" bestFit="1" customWidth="1"/>
    <col min="2" max="2" width="9.7109375" style="0" bestFit="1" customWidth="1"/>
    <col min="3" max="3" width="11.57421875" style="0" bestFit="1" customWidth="1"/>
    <col min="4" max="4" width="11.8515625" style="0" bestFit="1" customWidth="1"/>
  </cols>
  <sheetData>
    <row r="1" spans="1:4" ht="15.75">
      <c r="A1" s="112" t="s">
        <v>173</v>
      </c>
      <c r="B1" s="111"/>
      <c r="C1" s="111"/>
      <c r="D1" s="111"/>
    </row>
    <row r="2" spans="1:5" ht="15">
      <c r="A2" s="113" t="s">
        <v>192</v>
      </c>
      <c r="B2" s="114"/>
      <c r="C2" s="114"/>
      <c r="D2" s="114"/>
      <c r="E2" s="102"/>
    </row>
    <row r="3" spans="1:4" ht="15">
      <c r="A3" s="83"/>
      <c r="B3" s="82"/>
      <c r="C3" s="82"/>
      <c r="D3" s="82"/>
    </row>
    <row r="4" spans="1:4" ht="12.75">
      <c r="A4" s="91" t="s">
        <v>178</v>
      </c>
      <c r="B4" s="92" t="s">
        <v>179</v>
      </c>
      <c r="C4" s="92" t="s">
        <v>180</v>
      </c>
      <c r="D4" s="92" t="s">
        <v>181</v>
      </c>
    </row>
    <row r="5" spans="1:4" ht="12.75">
      <c r="A5" s="101" t="s">
        <v>137</v>
      </c>
      <c r="B5" s="73">
        <f>'Comparison 1'!B13</f>
        <v>103095</v>
      </c>
      <c r="C5" s="73">
        <f>'Comparison 1'!C13</f>
        <v>364765</v>
      </c>
      <c r="D5" s="75">
        <f>'Comparison 1'!D13</f>
        <v>261670</v>
      </c>
    </row>
    <row r="6" spans="1:4" ht="12.75">
      <c r="A6" s="101" t="s">
        <v>182</v>
      </c>
      <c r="B6" s="73">
        <f>0.1*'Comparison 1'!B16</f>
        <v>28252</v>
      </c>
      <c r="C6" s="73">
        <f>0.1*'Comparison 1'!C16</f>
        <v>68572</v>
      </c>
      <c r="D6" s="78">
        <f>C6-B6</f>
        <v>40320</v>
      </c>
    </row>
    <row r="7" spans="1:4" ht="12.75">
      <c r="A7" s="101" t="s">
        <v>139</v>
      </c>
      <c r="B7" s="71">
        <v>0</v>
      </c>
      <c r="C7" s="71">
        <v>0</v>
      </c>
      <c r="D7" s="76">
        <f>C7-B7</f>
        <v>0</v>
      </c>
    </row>
    <row r="8" spans="1:4" ht="12.75">
      <c r="A8" s="101" t="s">
        <v>140</v>
      </c>
      <c r="B8" s="73">
        <v>0</v>
      </c>
      <c r="C8" s="73">
        <v>0</v>
      </c>
      <c r="D8" s="78">
        <f>C8-B8</f>
        <v>0</v>
      </c>
    </row>
    <row r="9" spans="1:4" ht="12.75">
      <c r="A9" s="101" t="s">
        <v>184</v>
      </c>
      <c r="B9" s="71">
        <v>86300</v>
      </c>
      <c r="C9" s="71">
        <v>86300</v>
      </c>
      <c r="D9" s="76">
        <f>C9-B9</f>
        <v>0</v>
      </c>
    </row>
    <row r="10" spans="1:4" ht="12.75">
      <c r="A10" s="101" t="s">
        <v>183</v>
      </c>
      <c r="B10" s="73">
        <f>'Grand Total 1'!L13</f>
        <v>250</v>
      </c>
      <c r="C10" s="73">
        <f>'Grand Total 2'!L13</f>
        <v>250</v>
      </c>
      <c r="D10" s="78">
        <f>C10-B10</f>
        <v>0</v>
      </c>
    </row>
    <row r="11" spans="1:4" ht="12.75">
      <c r="A11" s="85" t="s">
        <v>185</v>
      </c>
      <c r="B11" s="72">
        <f>SUM(B5:B10)</f>
        <v>217897</v>
      </c>
      <c r="C11" s="72">
        <f>SUM(C5:C10)</f>
        <v>519887</v>
      </c>
      <c r="D11" s="74">
        <f>C11-B11</f>
        <v>301990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70"/>
  <sheetViews>
    <sheetView workbookViewId="0" topLeftCell="A1">
      <selection activeCell="A1" sqref="A1:K1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14.8515625" style="0" customWidth="1"/>
    <col min="4" max="4" width="5.421875" style="0" customWidth="1"/>
    <col min="5" max="5" width="16.8515625" style="0" bestFit="1" customWidth="1"/>
    <col min="6" max="6" width="12.8515625" style="0" bestFit="1" customWidth="1"/>
    <col min="7" max="7" width="11.57421875" style="0" bestFit="1" customWidth="1"/>
    <col min="8" max="8" width="10.7109375" style="0" bestFit="1" customWidth="1"/>
    <col min="9" max="9" width="12.00390625" style="0" bestFit="1" customWidth="1"/>
    <col min="10" max="10" width="11.28125" style="0" bestFit="1" customWidth="1"/>
    <col min="11" max="11" width="12.00390625" style="0" bestFit="1" customWidth="1"/>
  </cols>
  <sheetData>
    <row r="1" spans="1:11" ht="15.75">
      <c r="A1" s="108" t="s">
        <v>163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7" t="s">
        <v>78</v>
      </c>
      <c r="D4" s="3">
        <v>0.028</v>
      </c>
      <c r="E4" s="1"/>
    </row>
    <row r="5" spans="1:11" ht="13.5" thickBot="1">
      <c r="A5" s="26" t="s">
        <v>4</v>
      </c>
      <c r="B5" s="26" t="s">
        <v>59</v>
      </c>
      <c r="C5" s="56" t="s">
        <v>0</v>
      </c>
      <c r="D5" s="29">
        <v>30</v>
      </c>
      <c r="E5" s="107" t="s">
        <v>56</v>
      </c>
      <c r="F5" s="107"/>
      <c r="G5" s="107"/>
      <c r="H5" s="107"/>
      <c r="I5" s="107"/>
      <c r="J5" s="107"/>
      <c r="K5" s="107"/>
    </row>
    <row r="6" spans="1:11" ht="12.75">
      <c r="A6" s="1"/>
      <c r="B6" s="2" t="s">
        <v>1</v>
      </c>
      <c r="C6" s="2" t="s">
        <v>3</v>
      </c>
      <c r="D6" s="2" t="s">
        <v>2</v>
      </c>
      <c r="E6" s="23" t="s">
        <v>67</v>
      </c>
      <c r="F6" s="45" t="s">
        <v>32</v>
      </c>
      <c r="G6" s="45" t="s">
        <v>35</v>
      </c>
      <c r="H6" s="45" t="s">
        <v>41</v>
      </c>
      <c r="I6" s="45" t="s">
        <v>33</v>
      </c>
      <c r="J6" s="45" t="s">
        <v>34</v>
      </c>
      <c r="K6" s="46" t="s">
        <v>42</v>
      </c>
    </row>
    <row r="7" spans="1:11" ht="12.75">
      <c r="A7" s="1">
        <v>1</v>
      </c>
      <c r="B7" s="7" t="s">
        <v>17</v>
      </c>
      <c r="C7" s="13">
        <v>1.64</v>
      </c>
      <c r="D7" s="7" t="s">
        <v>76</v>
      </c>
      <c r="E7" s="21">
        <v>24000</v>
      </c>
      <c r="F7" s="22"/>
      <c r="G7" s="22"/>
      <c r="H7" s="22"/>
      <c r="I7" s="22"/>
      <c r="J7" s="22"/>
      <c r="K7" s="35">
        <f aca="true" t="shared" si="0" ref="K7:K20">SUM(E7:J7)*C7</f>
        <v>39360</v>
      </c>
    </row>
    <row r="8" spans="1:11" ht="12.75">
      <c r="A8" s="1">
        <v>2</v>
      </c>
      <c r="B8" s="7" t="s">
        <v>18</v>
      </c>
      <c r="C8" s="13">
        <v>1.64</v>
      </c>
      <c r="D8" s="7" t="s">
        <v>76</v>
      </c>
      <c r="E8" s="21">
        <v>16500</v>
      </c>
      <c r="F8" s="22"/>
      <c r="G8" s="22"/>
      <c r="H8" s="22"/>
      <c r="I8" s="22"/>
      <c r="J8" s="22"/>
      <c r="K8" s="36">
        <f t="shared" si="0"/>
        <v>27060</v>
      </c>
    </row>
    <row r="9" spans="1:11" ht="12.75">
      <c r="A9" s="1">
        <v>3</v>
      </c>
      <c r="B9" s="7" t="s">
        <v>19</v>
      </c>
      <c r="C9" s="13">
        <v>14.5</v>
      </c>
      <c r="D9" s="7" t="s">
        <v>23</v>
      </c>
      <c r="E9" s="21"/>
      <c r="F9" s="22"/>
      <c r="G9" s="22">
        <v>3000</v>
      </c>
      <c r="H9" s="22"/>
      <c r="I9" s="22">
        <v>4000</v>
      </c>
      <c r="J9" s="22"/>
      <c r="K9" s="36">
        <f t="shared" si="0"/>
        <v>101500</v>
      </c>
    </row>
    <row r="10" spans="1:11" ht="12.75">
      <c r="A10" s="9">
        <v>4</v>
      </c>
      <c r="B10" s="7" t="s">
        <v>20</v>
      </c>
      <c r="C10" s="13">
        <v>11400</v>
      </c>
      <c r="D10" s="7" t="s">
        <v>5</v>
      </c>
      <c r="E10" s="21"/>
      <c r="F10" s="22">
        <v>1</v>
      </c>
      <c r="G10" s="22"/>
      <c r="H10" s="22"/>
      <c r="I10" s="22"/>
      <c r="J10" s="22"/>
      <c r="K10" s="36">
        <f t="shared" si="0"/>
        <v>11400</v>
      </c>
    </row>
    <row r="11" spans="1:11" ht="12.75">
      <c r="A11" s="1">
        <v>5</v>
      </c>
      <c r="B11" s="7" t="s">
        <v>21</v>
      </c>
      <c r="C11" s="13">
        <v>8000</v>
      </c>
      <c r="D11" s="7" t="s">
        <v>6</v>
      </c>
      <c r="E11" s="21">
        <v>5</v>
      </c>
      <c r="F11" s="22"/>
      <c r="G11" s="22"/>
      <c r="H11" s="22"/>
      <c r="I11" s="22"/>
      <c r="J11" s="22"/>
      <c r="K11" s="36">
        <f t="shared" si="0"/>
        <v>40000</v>
      </c>
    </row>
    <row r="12" spans="1:11" ht="12.75">
      <c r="A12" s="9">
        <v>6</v>
      </c>
      <c r="B12" s="7" t="s">
        <v>24</v>
      </c>
      <c r="C12" s="13">
        <v>180000</v>
      </c>
      <c r="D12" s="7" t="s">
        <v>6</v>
      </c>
      <c r="E12" s="21">
        <v>1</v>
      </c>
      <c r="F12" s="22"/>
      <c r="G12" s="22">
        <v>1</v>
      </c>
      <c r="H12" s="22">
        <v>1</v>
      </c>
      <c r="I12" s="22"/>
      <c r="J12" s="22">
        <v>1</v>
      </c>
      <c r="K12" s="36">
        <f t="shared" si="0"/>
        <v>720000</v>
      </c>
    </row>
    <row r="13" spans="1:11" ht="12.75">
      <c r="A13" s="10">
        <v>7</v>
      </c>
      <c r="B13" s="7" t="s">
        <v>25</v>
      </c>
      <c r="C13" s="13">
        <v>220000</v>
      </c>
      <c r="D13" s="7" t="s">
        <v>6</v>
      </c>
      <c r="E13" s="21"/>
      <c r="F13" s="22"/>
      <c r="G13" s="22"/>
      <c r="H13" s="22">
        <v>1</v>
      </c>
      <c r="I13" s="22"/>
      <c r="J13" s="22"/>
      <c r="K13" s="36">
        <f t="shared" si="0"/>
        <v>220000</v>
      </c>
    </row>
    <row r="14" spans="1:11" ht="12.75">
      <c r="A14" s="1">
        <v>8</v>
      </c>
      <c r="B14" s="7" t="s">
        <v>22</v>
      </c>
      <c r="C14" s="13">
        <v>18000</v>
      </c>
      <c r="D14" s="7" t="s">
        <v>6</v>
      </c>
      <c r="E14" s="21"/>
      <c r="F14" s="22"/>
      <c r="G14" s="22">
        <v>12</v>
      </c>
      <c r="H14" s="22"/>
      <c r="I14" s="22"/>
      <c r="J14" s="22"/>
      <c r="K14" s="36">
        <f t="shared" si="0"/>
        <v>216000</v>
      </c>
    </row>
    <row r="15" spans="1:11" ht="12.75">
      <c r="A15" s="1">
        <v>9</v>
      </c>
      <c r="B15" s="7" t="s">
        <v>40</v>
      </c>
      <c r="C15" s="13">
        <v>42000</v>
      </c>
      <c r="D15" s="7" t="s">
        <v>6</v>
      </c>
      <c r="E15" s="21"/>
      <c r="F15" s="22"/>
      <c r="G15" s="22"/>
      <c r="H15" s="22">
        <v>4</v>
      </c>
      <c r="I15" s="22"/>
      <c r="J15" s="22"/>
      <c r="K15" s="36">
        <f t="shared" si="0"/>
        <v>168000</v>
      </c>
    </row>
    <row r="16" spans="1:11" ht="12.75">
      <c r="A16" s="1">
        <v>10</v>
      </c>
      <c r="B16" s="7" t="s">
        <v>27</v>
      </c>
      <c r="C16" s="13">
        <v>50000</v>
      </c>
      <c r="D16" s="7" t="s">
        <v>6</v>
      </c>
      <c r="E16" s="21"/>
      <c r="F16" s="22"/>
      <c r="G16" s="22"/>
      <c r="H16" s="22"/>
      <c r="I16" s="22">
        <v>21</v>
      </c>
      <c r="J16" s="22"/>
      <c r="K16" s="36">
        <f t="shared" si="0"/>
        <v>1050000</v>
      </c>
    </row>
    <row r="17" spans="1:11" ht="12.75">
      <c r="A17" s="9">
        <v>11</v>
      </c>
      <c r="B17" s="7" t="s">
        <v>26</v>
      </c>
      <c r="C17" s="13">
        <v>115000</v>
      </c>
      <c r="D17" s="7" t="s">
        <v>5</v>
      </c>
      <c r="E17" s="21">
        <v>1</v>
      </c>
      <c r="F17" s="22"/>
      <c r="G17" s="22"/>
      <c r="H17" s="22"/>
      <c r="I17" s="22"/>
      <c r="J17" s="22"/>
      <c r="K17" s="36">
        <f t="shared" si="0"/>
        <v>115000</v>
      </c>
    </row>
    <row r="18" spans="1:234" ht="12.75">
      <c r="A18" s="10">
        <v>12</v>
      </c>
      <c r="B18" s="7" t="s">
        <v>36</v>
      </c>
      <c r="C18" s="13">
        <v>2.04</v>
      </c>
      <c r="D18" s="7" t="s">
        <v>75</v>
      </c>
      <c r="E18" s="21"/>
      <c r="F18" s="22"/>
      <c r="G18" s="22"/>
      <c r="H18" s="22"/>
      <c r="I18" s="22"/>
      <c r="J18" s="22">
        <v>85000</v>
      </c>
      <c r="K18" s="36">
        <f t="shared" si="0"/>
        <v>173400</v>
      </c>
      <c r="L18" s="4"/>
      <c r="M18" s="6"/>
      <c r="N18" s="4"/>
      <c r="O18" s="10"/>
      <c r="P18" s="7"/>
      <c r="Q18" s="7"/>
      <c r="R18" s="14"/>
      <c r="S18" s="13"/>
      <c r="T18" s="4"/>
      <c r="U18" s="6"/>
      <c r="V18" s="4"/>
      <c r="W18" s="10"/>
      <c r="X18" s="7"/>
      <c r="Y18" s="7"/>
      <c r="Z18" s="14"/>
      <c r="AA18" s="13"/>
      <c r="AB18" s="4"/>
      <c r="AC18" s="6"/>
      <c r="AD18" s="4"/>
      <c r="AE18" s="10"/>
      <c r="AF18" s="7"/>
      <c r="AG18" s="7"/>
      <c r="AH18" s="14"/>
      <c r="AI18" s="13"/>
      <c r="AJ18" s="4"/>
      <c r="AK18" s="6"/>
      <c r="AL18" s="4"/>
      <c r="AM18" s="10"/>
      <c r="AN18" s="7"/>
      <c r="AO18" s="7"/>
      <c r="AP18" s="14"/>
      <c r="AQ18" s="13"/>
      <c r="AR18" s="4"/>
      <c r="AS18" s="6"/>
      <c r="AT18" s="4"/>
      <c r="AU18" s="10"/>
      <c r="AV18" s="7"/>
      <c r="AW18" s="7"/>
      <c r="AX18" s="14"/>
      <c r="AY18" s="13"/>
      <c r="AZ18" s="4"/>
      <c r="BA18" s="6"/>
      <c r="BB18" s="4"/>
      <c r="BC18" s="10"/>
      <c r="BD18" s="7"/>
      <c r="BE18" s="7"/>
      <c r="BF18" s="14"/>
      <c r="BG18" s="13"/>
      <c r="BH18" s="4"/>
      <c r="BI18" s="6"/>
      <c r="BJ18" s="4"/>
      <c r="BK18" s="10"/>
      <c r="BL18" s="7"/>
      <c r="BM18" s="7"/>
      <c r="BN18" s="14"/>
      <c r="BO18" s="13"/>
      <c r="BP18" s="4"/>
      <c r="BQ18" s="6"/>
      <c r="BR18" s="4"/>
      <c r="BS18" s="10"/>
      <c r="BT18" s="7"/>
      <c r="BU18" s="7"/>
      <c r="BV18" s="14"/>
      <c r="BW18" s="13"/>
      <c r="BX18" s="4"/>
      <c r="BY18" s="6"/>
      <c r="BZ18" s="4"/>
      <c r="CA18" s="10"/>
      <c r="CB18" s="7"/>
      <c r="CC18" s="7"/>
      <c r="CD18" s="14"/>
      <c r="CE18" s="13"/>
      <c r="CF18" s="4"/>
      <c r="CG18" s="6"/>
      <c r="CH18" s="4"/>
      <c r="CI18" s="10"/>
      <c r="CJ18" s="7"/>
      <c r="CK18" s="7"/>
      <c r="CL18" s="14"/>
      <c r="CM18" s="13"/>
      <c r="CN18" s="4"/>
      <c r="CO18" s="6"/>
      <c r="CP18" s="4"/>
      <c r="CQ18" s="10"/>
      <c r="CR18" s="7"/>
      <c r="CS18" s="7"/>
      <c r="CT18" s="14"/>
      <c r="CU18" s="13"/>
      <c r="CV18" s="4"/>
      <c r="CW18" s="6"/>
      <c r="CX18" s="4"/>
      <c r="CY18" s="10"/>
      <c r="CZ18" s="7"/>
      <c r="DA18" s="7"/>
      <c r="DB18" s="14"/>
      <c r="DC18" s="13"/>
      <c r="DD18" s="4"/>
      <c r="DE18" s="6"/>
      <c r="DF18" s="4"/>
      <c r="DG18" s="10"/>
      <c r="DH18" s="7"/>
      <c r="DI18" s="7"/>
      <c r="DJ18" s="14"/>
      <c r="DK18" s="13"/>
      <c r="DL18" s="4"/>
      <c r="DM18" s="6"/>
      <c r="DN18" s="4"/>
      <c r="DO18" s="10"/>
      <c r="DP18" s="7"/>
      <c r="DQ18" s="7"/>
      <c r="DR18" s="14"/>
      <c r="DS18" s="13"/>
      <c r="DT18" s="4"/>
      <c r="DU18" s="6"/>
      <c r="DV18" s="4"/>
      <c r="DW18" s="10"/>
      <c r="DX18" s="7"/>
      <c r="DY18" s="7"/>
      <c r="DZ18" s="14"/>
      <c r="EA18" s="13"/>
      <c r="EB18" s="4"/>
      <c r="EC18" s="6"/>
      <c r="ED18" s="4"/>
      <c r="EE18" s="10"/>
      <c r="EF18" s="7"/>
      <c r="EG18" s="7"/>
      <c r="EH18" s="14"/>
      <c r="EI18" s="13"/>
      <c r="EJ18" s="4"/>
      <c r="EK18" s="6"/>
      <c r="EL18" s="4"/>
      <c r="EM18" s="10"/>
      <c r="EN18" s="7"/>
      <c r="EO18" s="7"/>
      <c r="EP18" s="14"/>
      <c r="EQ18" s="13"/>
      <c r="ER18" s="4"/>
      <c r="ES18" s="6"/>
      <c r="ET18" s="4"/>
      <c r="EU18" s="10"/>
      <c r="EV18" s="7"/>
      <c r="EW18" s="7"/>
      <c r="EX18" s="14"/>
      <c r="EY18" s="13"/>
      <c r="EZ18" s="4"/>
      <c r="FA18" s="6"/>
      <c r="FB18" s="4"/>
      <c r="FC18" s="10"/>
      <c r="FD18" s="7"/>
      <c r="FE18" s="7"/>
      <c r="FF18" s="14"/>
      <c r="FG18" s="13"/>
      <c r="FH18" s="4"/>
      <c r="FI18" s="6"/>
      <c r="FJ18" s="4"/>
      <c r="FK18" s="10"/>
      <c r="FL18" s="7"/>
      <c r="FM18" s="7"/>
      <c r="FN18" s="14"/>
      <c r="FO18" s="13"/>
      <c r="FP18" s="4"/>
      <c r="FQ18" s="6"/>
      <c r="FR18" s="4"/>
      <c r="FS18" s="10"/>
      <c r="FT18" s="7"/>
      <c r="FU18" s="7"/>
      <c r="FV18" s="14"/>
      <c r="FW18" s="13"/>
      <c r="FX18" s="4"/>
      <c r="FY18" s="6"/>
      <c r="FZ18" s="4"/>
      <c r="GA18" s="10"/>
      <c r="GB18" s="7"/>
      <c r="GC18" s="7"/>
      <c r="GD18" s="14"/>
      <c r="GE18" s="13"/>
      <c r="GF18" s="4"/>
      <c r="GG18" s="6"/>
      <c r="GH18" s="4"/>
      <c r="GI18" s="10"/>
      <c r="GJ18" s="7"/>
      <c r="GK18" s="7"/>
      <c r="GL18" s="14"/>
      <c r="GM18" s="13"/>
      <c r="GN18" s="4"/>
      <c r="GO18" s="6"/>
      <c r="GP18" s="4"/>
      <c r="GQ18" s="10"/>
      <c r="GR18" s="7"/>
      <c r="GS18" s="7"/>
      <c r="GT18" s="14"/>
      <c r="GU18" s="13"/>
      <c r="GV18" s="4"/>
      <c r="GW18" s="6"/>
      <c r="GX18" s="4"/>
      <c r="GY18" s="10"/>
      <c r="GZ18" s="7"/>
      <c r="HA18" s="7"/>
      <c r="HB18" s="14"/>
      <c r="HC18" s="13"/>
      <c r="HD18" s="4"/>
      <c r="HE18" s="6"/>
      <c r="HF18" s="4"/>
      <c r="HG18" s="10"/>
      <c r="HH18" s="7"/>
      <c r="HI18" s="7"/>
      <c r="HJ18" s="14"/>
      <c r="HK18" s="13"/>
      <c r="HL18" s="4"/>
      <c r="HM18" s="6"/>
      <c r="HN18" s="4"/>
      <c r="HO18" s="10"/>
      <c r="HP18" s="7"/>
      <c r="HQ18" s="7"/>
      <c r="HR18" s="14"/>
      <c r="HS18" s="13"/>
      <c r="HT18" s="4"/>
      <c r="HU18" s="6"/>
      <c r="HV18" s="4"/>
      <c r="HW18" s="10"/>
      <c r="HX18" s="7"/>
      <c r="HY18" s="7"/>
      <c r="HZ18" s="14"/>
    </row>
    <row r="19" spans="1:234" ht="12.75">
      <c r="A19" s="10">
        <v>13</v>
      </c>
      <c r="B19" s="7" t="s">
        <v>39</v>
      </c>
      <c r="C19" s="13">
        <v>25</v>
      </c>
      <c r="D19" s="7" t="s">
        <v>77</v>
      </c>
      <c r="E19" s="21">
        <v>5500</v>
      </c>
      <c r="F19" s="22"/>
      <c r="G19" s="22"/>
      <c r="H19" s="22"/>
      <c r="I19" s="22"/>
      <c r="J19" s="22"/>
      <c r="K19" s="36">
        <f t="shared" si="0"/>
        <v>137500</v>
      </c>
      <c r="L19" s="4"/>
      <c r="M19" s="6"/>
      <c r="N19" s="4"/>
      <c r="O19" s="10"/>
      <c r="P19" s="7"/>
      <c r="Q19" s="7"/>
      <c r="R19" s="14"/>
      <c r="S19" s="13"/>
      <c r="T19" s="4"/>
      <c r="U19" s="6"/>
      <c r="V19" s="4"/>
      <c r="W19" s="10"/>
      <c r="X19" s="7"/>
      <c r="Y19" s="7"/>
      <c r="Z19" s="14"/>
      <c r="AA19" s="13"/>
      <c r="AB19" s="4"/>
      <c r="AC19" s="6"/>
      <c r="AD19" s="4"/>
      <c r="AE19" s="10"/>
      <c r="AF19" s="7"/>
      <c r="AG19" s="7"/>
      <c r="AH19" s="14"/>
      <c r="AI19" s="13"/>
      <c r="AJ19" s="4"/>
      <c r="AK19" s="6"/>
      <c r="AL19" s="4"/>
      <c r="AM19" s="10"/>
      <c r="AN19" s="7"/>
      <c r="AO19" s="7"/>
      <c r="AP19" s="14"/>
      <c r="AQ19" s="13"/>
      <c r="AR19" s="4"/>
      <c r="AS19" s="6"/>
      <c r="AT19" s="4"/>
      <c r="AU19" s="10"/>
      <c r="AV19" s="7"/>
      <c r="AW19" s="7"/>
      <c r="AX19" s="14"/>
      <c r="AY19" s="13"/>
      <c r="AZ19" s="4"/>
      <c r="BA19" s="6"/>
      <c r="BB19" s="4"/>
      <c r="BC19" s="10"/>
      <c r="BD19" s="7"/>
      <c r="BE19" s="7"/>
      <c r="BF19" s="14"/>
      <c r="BG19" s="13"/>
      <c r="BH19" s="4"/>
      <c r="BI19" s="6"/>
      <c r="BJ19" s="4"/>
      <c r="BK19" s="10"/>
      <c r="BL19" s="7"/>
      <c r="BM19" s="7"/>
      <c r="BN19" s="14"/>
      <c r="BO19" s="13"/>
      <c r="BP19" s="4"/>
      <c r="BQ19" s="6"/>
      <c r="BR19" s="4"/>
      <c r="BS19" s="10"/>
      <c r="BT19" s="7"/>
      <c r="BU19" s="7"/>
      <c r="BV19" s="14"/>
      <c r="BW19" s="13"/>
      <c r="BX19" s="4"/>
      <c r="BY19" s="6"/>
      <c r="BZ19" s="4"/>
      <c r="CA19" s="10"/>
      <c r="CB19" s="7"/>
      <c r="CC19" s="7"/>
      <c r="CD19" s="14"/>
      <c r="CE19" s="13"/>
      <c r="CF19" s="4"/>
      <c r="CG19" s="6"/>
      <c r="CH19" s="4"/>
      <c r="CI19" s="10"/>
      <c r="CJ19" s="7"/>
      <c r="CK19" s="7"/>
      <c r="CL19" s="14"/>
      <c r="CM19" s="13"/>
      <c r="CN19" s="4"/>
      <c r="CO19" s="6"/>
      <c r="CP19" s="4"/>
      <c r="CQ19" s="10"/>
      <c r="CR19" s="7"/>
      <c r="CS19" s="7"/>
      <c r="CT19" s="14"/>
      <c r="CU19" s="13"/>
      <c r="CV19" s="4"/>
      <c r="CW19" s="6"/>
      <c r="CX19" s="4"/>
      <c r="CY19" s="10"/>
      <c r="CZ19" s="7"/>
      <c r="DA19" s="7"/>
      <c r="DB19" s="14"/>
      <c r="DC19" s="13"/>
      <c r="DD19" s="4"/>
      <c r="DE19" s="6"/>
      <c r="DF19" s="4"/>
      <c r="DG19" s="10"/>
      <c r="DH19" s="7"/>
      <c r="DI19" s="7"/>
      <c r="DJ19" s="14"/>
      <c r="DK19" s="13"/>
      <c r="DL19" s="4"/>
      <c r="DM19" s="6"/>
      <c r="DN19" s="4"/>
      <c r="DO19" s="10"/>
      <c r="DP19" s="7"/>
      <c r="DQ19" s="7"/>
      <c r="DR19" s="14"/>
      <c r="DS19" s="13"/>
      <c r="DT19" s="4"/>
      <c r="DU19" s="6"/>
      <c r="DV19" s="4"/>
      <c r="DW19" s="10"/>
      <c r="DX19" s="7"/>
      <c r="DY19" s="7"/>
      <c r="DZ19" s="14"/>
      <c r="EA19" s="13"/>
      <c r="EB19" s="4"/>
      <c r="EC19" s="6"/>
      <c r="ED19" s="4"/>
      <c r="EE19" s="10"/>
      <c r="EF19" s="7"/>
      <c r="EG19" s="7"/>
      <c r="EH19" s="14"/>
      <c r="EI19" s="13"/>
      <c r="EJ19" s="4"/>
      <c r="EK19" s="6"/>
      <c r="EL19" s="4"/>
      <c r="EM19" s="10"/>
      <c r="EN19" s="7"/>
      <c r="EO19" s="7"/>
      <c r="EP19" s="14"/>
      <c r="EQ19" s="13"/>
      <c r="ER19" s="4"/>
      <c r="ES19" s="6"/>
      <c r="ET19" s="4"/>
      <c r="EU19" s="10"/>
      <c r="EV19" s="7"/>
      <c r="EW19" s="7"/>
      <c r="EX19" s="14"/>
      <c r="EY19" s="13"/>
      <c r="EZ19" s="4"/>
      <c r="FA19" s="6"/>
      <c r="FB19" s="4"/>
      <c r="FC19" s="10"/>
      <c r="FD19" s="7"/>
      <c r="FE19" s="7"/>
      <c r="FF19" s="14"/>
      <c r="FG19" s="13"/>
      <c r="FH19" s="4"/>
      <c r="FI19" s="6"/>
      <c r="FJ19" s="4"/>
      <c r="FK19" s="10"/>
      <c r="FL19" s="7"/>
      <c r="FM19" s="7"/>
      <c r="FN19" s="14"/>
      <c r="FO19" s="13"/>
      <c r="FP19" s="4"/>
      <c r="FQ19" s="6"/>
      <c r="FR19" s="4"/>
      <c r="FS19" s="10"/>
      <c r="FT19" s="7"/>
      <c r="FU19" s="7"/>
      <c r="FV19" s="14"/>
      <c r="FW19" s="13"/>
      <c r="FX19" s="4"/>
      <c r="FY19" s="6"/>
      <c r="FZ19" s="4"/>
      <c r="GA19" s="10"/>
      <c r="GB19" s="7"/>
      <c r="GC19" s="7"/>
      <c r="GD19" s="14"/>
      <c r="GE19" s="13"/>
      <c r="GF19" s="4"/>
      <c r="GG19" s="6"/>
      <c r="GH19" s="4"/>
      <c r="GI19" s="10"/>
      <c r="GJ19" s="7"/>
      <c r="GK19" s="7"/>
      <c r="GL19" s="14"/>
      <c r="GM19" s="13"/>
      <c r="GN19" s="4"/>
      <c r="GO19" s="6"/>
      <c r="GP19" s="4"/>
      <c r="GQ19" s="10"/>
      <c r="GR19" s="7"/>
      <c r="GS19" s="7"/>
      <c r="GT19" s="14"/>
      <c r="GU19" s="13"/>
      <c r="GV19" s="4"/>
      <c r="GW19" s="6"/>
      <c r="GX19" s="4"/>
      <c r="GY19" s="10"/>
      <c r="GZ19" s="7"/>
      <c r="HA19" s="7"/>
      <c r="HB19" s="14"/>
      <c r="HC19" s="13"/>
      <c r="HD19" s="4"/>
      <c r="HE19" s="6"/>
      <c r="HF19" s="4"/>
      <c r="HG19" s="10"/>
      <c r="HH19" s="7"/>
      <c r="HI19" s="7"/>
      <c r="HJ19" s="14"/>
      <c r="HK19" s="13"/>
      <c r="HL19" s="4"/>
      <c r="HM19" s="6"/>
      <c r="HN19" s="4"/>
      <c r="HO19" s="10"/>
      <c r="HP19" s="7"/>
      <c r="HQ19" s="7"/>
      <c r="HR19" s="14"/>
      <c r="HS19" s="13"/>
      <c r="HT19" s="4"/>
      <c r="HU19" s="6"/>
      <c r="HV19" s="4"/>
      <c r="HW19" s="10"/>
      <c r="HX19" s="7"/>
      <c r="HY19" s="7"/>
      <c r="HZ19" s="14"/>
    </row>
    <row r="20" spans="1:11" ht="12.75">
      <c r="A20" s="9"/>
      <c r="B20" s="7"/>
      <c r="C20" s="4"/>
      <c r="D20" s="7"/>
      <c r="E20" s="1"/>
      <c r="F20" s="8"/>
      <c r="G20" s="8"/>
      <c r="H20" s="8"/>
      <c r="I20" s="8"/>
      <c r="J20" s="8"/>
      <c r="K20" s="36">
        <f t="shared" si="0"/>
        <v>0</v>
      </c>
    </row>
    <row r="21" spans="1:11" ht="12.75">
      <c r="A21" s="9"/>
      <c r="B21" s="7"/>
      <c r="C21" s="19" t="s">
        <v>7</v>
      </c>
      <c r="D21" s="7"/>
      <c r="E21" s="59">
        <f aca="true" t="shared" si="1" ref="E21:J21">SUMPRODUCT($C$7:$C$19,E7:E19)</f>
        <v>538920</v>
      </c>
      <c r="F21" s="59">
        <f t="shared" si="1"/>
        <v>11400</v>
      </c>
      <c r="G21" s="59">
        <f t="shared" si="1"/>
        <v>439500</v>
      </c>
      <c r="H21" s="59">
        <f t="shared" si="1"/>
        <v>568000</v>
      </c>
      <c r="I21" s="59">
        <f t="shared" si="1"/>
        <v>1108000</v>
      </c>
      <c r="J21" s="59">
        <f t="shared" si="1"/>
        <v>353400</v>
      </c>
      <c r="K21" s="59">
        <f aca="true" t="shared" si="2" ref="K21:K28">SUM(E21:J21)</f>
        <v>3019220</v>
      </c>
    </row>
    <row r="22" spans="1:11" ht="12.75">
      <c r="A22" s="9"/>
      <c r="C22" s="54" t="s">
        <v>11</v>
      </c>
      <c r="D22" s="11">
        <v>0.05</v>
      </c>
      <c r="E22" s="36">
        <f aca="true" t="shared" si="3" ref="E22:J22">$D$22*E21</f>
        <v>26946</v>
      </c>
      <c r="F22" s="36">
        <f t="shared" si="3"/>
        <v>570</v>
      </c>
      <c r="G22" s="36">
        <f t="shared" si="3"/>
        <v>21975</v>
      </c>
      <c r="H22" s="36">
        <f t="shared" si="3"/>
        <v>28400</v>
      </c>
      <c r="I22" s="36">
        <f t="shared" si="3"/>
        <v>55400</v>
      </c>
      <c r="J22" s="36">
        <f t="shared" si="3"/>
        <v>17670</v>
      </c>
      <c r="K22" s="36">
        <f t="shared" si="2"/>
        <v>150961</v>
      </c>
    </row>
    <row r="23" spans="1:11" ht="12.75">
      <c r="A23" s="9"/>
      <c r="C23" s="54" t="s">
        <v>12</v>
      </c>
      <c r="D23" s="11">
        <v>0.1</v>
      </c>
      <c r="E23" s="36">
        <f aca="true" t="shared" si="4" ref="E23:J23">E21*$D$23</f>
        <v>53892</v>
      </c>
      <c r="F23" s="36">
        <f t="shared" si="4"/>
        <v>1140</v>
      </c>
      <c r="G23" s="36">
        <f t="shared" si="4"/>
        <v>43950</v>
      </c>
      <c r="H23" s="36">
        <f t="shared" si="4"/>
        <v>56800</v>
      </c>
      <c r="I23" s="36">
        <f t="shared" si="4"/>
        <v>110800</v>
      </c>
      <c r="J23" s="36">
        <f t="shared" si="4"/>
        <v>35340</v>
      </c>
      <c r="K23" s="36">
        <f t="shared" si="2"/>
        <v>301922</v>
      </c>
    </row>
    <row r="24" spans="1:11" ht="12.75">
      <c r="A24" s="9"/>
      <c r="B24" s="54"/>
      <c r="C24" s="18" t="s">
        <v>13</v>
      </c>
      <c r="D24" s="11"/>
      <c r="E24" s="59">
        <f aca="true" t="shared" si="5" ref="E24:J24">SUM(E21:E23)</f>
        <v>619758</v>
      </c>
      <c r="F24" s="59">
        <f t="shared" si="5"/>
        <v>13110</v>
      </c>
      <c r="G24" s="59">
        <f t="shared" si="5"/>
        <v>505425</v>
      </c>
      <c r="H24" s="59">
        <f t="shared" si="5"/>
        <v>653200</v>
      </c>
      <c r="I24" s="59">
        <f t="shared" si="5"/>
        <v>1274200</v>
      </c>
      <c r="J24" s="59">
        <f t="shared" si="5"/>
        <v>406410</v>
      </c>
      <c r="K24" s="59">
        <f t="shared" si="2"/>
        <v>3472103</v>
      </c>
    </row>
    <row r="25" spans="1:11" ht="12.75">
      <c r="A25" s="9"/>
      <c r="C25" s="54" t="s">
        <v>14</v>
      </c>
      <c r="D25" s="11">
        <v>0.2</v>
      </c>
      <c r="E25" s="36">
        <f aca="true" t="shared" si="6" ref="E25:J25">$D$25*E$24</f>
        <v>123951.6</v>
      </c>
      <c r="F25" s="36">
        <f t="shared" si="6"/>
        <v>2622</v>
      </c>
      <c r="G25" s="36">
        <f t="shared" si="6"/>
        <v>101085</v>
      </c>
      <c r="H25" s="36">
        <f t="shared" si="6"/>
        <v>130640</v>
      </c>
      <c r="I25" s="36">
        <f t="shared" si="6"/>
        <v>254840</v>
      </c>
      <c r="J25" s="36">
        <f t="shared" si="6"/>
        <v>81282</v>
      </c>
      <c r="K25" s="36">
        <f t="shared" si="2"/>
        <v>694420.6</v>
      </c>
    </row>
    <row r="26" spans="1:11" ht="12.75">
      <c r="A26" s="1"/>
      <c r="B26" s="55"/>
      <c r="C26" s="19" t="s">
        <v>15</v>
      </c>
      <c r="D26" s="1"/>
      <c r="E26" s="59">
        <f aca="true" t="shared" si="7" ref="E26:J26">ROUND(SUM(E24:E25),-2)</f>
        <v>743700</v>
      </c>
      <c r="F26" s="59">
        <f t="shared" si="7"/>
        <v>15700</v>
      </c>
      <c r="G26" s="59">
        <f t="shared" si="7"/>
        <v>606500</v>
      </c>
      <c r="H26" s="59">
        <f t="shared" si="7"/>
        <v>783800</v>
      </c>
      <c r="I26" s="59">
        <f t="shared" si="7"/>
        <v>1529000</v>
      </c>
      <c r="J26" s="59">
        <f t="shared" si="7"/>
        <v>487700</v>
      </c>
      <c r="K26" s="59">
        <f t="shared" si="2"/>
        <v>4166400</v>
      </c>
    </row>
    <row r="27" spans="1:11" ht="12.75">
      <c r="A27" s="1"/>
      <c r="C27" s="54" t="s">
        <v>30</v>
      </c>
      <c r="D27" s="11">
        <v>0.06</v>
      </c>
      <c r="E27" s="36">
        <f aca="true" t="shared" si="8" ref="E27:J27">$D$27*E$26</f>
        <v>44622</v>
      </c>
      <c r="F27" s="36">
        <f t="shared" si="8"/>
        <v>942</v>
      </c>
      <c r="G27" s="36">
        <f t="shared" si="8"/>
        <v>36390</v>
      </c>
      <c r="H27" s="36">
        <f t="shared" si="8"/>
        <v>47028</v>
      </c>
      <c r="I27" s="36">
        <f t="shared" si="8"/>
        <v>91740</v>
      </c>
      <c r="J27" s="36">
        <f t="shared" si="8"/>
        <v>29262</v>
      </c>
      <c r="K27" s="36">
        <f t="shared" si="2"/>
        <v>249984</v>
      </c>
    </row>
    <row r="28" spans="1:11" ht="12.75">
      <c r="A28" s="1"/>
      <c r="C28" s="54" t="s">
        <v>31</v>
      </c>
      <c r="D28" s="11">
        <v>0.06</v>
      </c>
      <c r="E28" s="36">
        <f aca="true" t="shared" si="9" ref="E28:J28">$D$28*E$26</f>
        <v>44622</v>
      </c>
      <c r="F28" s="36">
        <f t="shared" si="9"/>
        <v>942</v>
      </c>
      <c r="G28" s="36">
        <f t="shared" si="9"/>
        <v>36390</v>
      </c>
      <c r="H28" s="36">
        <f t="shared" si="9"/>
        <v>47028</v>
      </c>
      <c r="I28" s="36">
        <f t="shared" si="9"/>
        <v>91740</v>
      </c>
      <c r="J28" s="36">
        <f t="shared" si="9"/>
        <v>29262</v>
      </c>
      <c r="K28" s="36">
        <f t="shared" si="2"/>
        <v>249984</v>
      </c>
    </row>
    <row r="29" spans="1:11" ht="12.75">
      <c r="A29" s="1"/>
      <c r="B29" s="1"/>
      <c r="C29" s="5"/>
      <c r="D29" s="1"/>
      <c r="E29" s="1"/>
      <c r="F29" s="1"/>
      <c r="G29" s="1"/>
      <c r="H29" s="1"/>
      <c r="I29" s="1"/>
      <c r="J29" s="1"/>
      <c r="K29" s="4"/>
    </row>
    <row r="30" spans="1:11" ht="13.5" thickBot="1">
      <c r="A30" s="1"/>
      <c r="B30" s="1"/>
      <c r="C30" s="19" t="s">
        <v>8</v>
      </c>
      <c r="D30" s="1"/>
      <c r="E30" s="57">
        <f aca="true" t="shared" si="10" ref="E30:J30">ROUND(SUM(E26:E29),-3)</f>
        <v>833000</v>
      </c>
      <c r="F30" s="57">
        <f t="shared" si="10"/>
        <v>18000</v>
      </c>
      <c r="G30" s="57">
        <f t="shared" si="10"/>
        <v>679000</v>
      </c>
      <c r="H30" s="57">
        <f t="shared" si="10"/>
        <v>878000</v>
      </c>
      <c r="I30" s="57">
        <f t="shared" si="10"/>
        <v>1712000</v>
      </c>
      <c r="J30" s="57">
        <f t="shared" si="10"/>
        <v>546000</v>
      </c>
      <c r="K30" s="57">
        <f>SUM(E30:J30)</f>
        <v>4666000</v>
      </c>
    </row>
    <row r="31" spans="1:11" ht="13.5" thickTop="1">
      <c r="A31" s="1"/>
      <c r="B31" s="1"/>
      <c r="C31" s="19"/>
      <c r="D31" s="1"/>
      <c r="E31" s="15"/>
      <c r="F31" s="15"/>
      <c r="G31" s="15"/>
      <c r="H31" s="15"/>
      <c r="I31" s="15"/>
      <c r="J31" s="15"/>
      <c r="K31" s="15"/>
    </row>
    <row r="32" spans="1:11" ht="12.75">
      <c r="A32" s="1"/>
      <c r="B32" s="1"/>
      <c r="C32" s="4"/>
      <c r="D32" s="1"/>
      <c r="E32" s="1"/>
      <c r="K32" s="4"/>
    </row>
    <row r="33" spans="1:11" ht="13.5" thickBot="1">
      <c r="A33" s="26" t="s">
        <v>9</v>
      </c>
      <c r="B33" s="27" t="s">
        <v>57</v>
      </c>
      <c r="C33" s="28"/>
      <c r="D33" s="29"/>
      <c r="E33" s="44" t="str">
        <f aca="true" t="shared" si="11" ref="E33:K33">E6</f>
        <v>BOAT RAMP/PARKING</v>
      </c>
      <c r="F33" s="44" t="str">
        <f t="shared" si="11"/>
        <v>BOAT STORAGE</v>
      </c>
      <c r="G33" s="44" t="str">
        <f t="shared" si="11"/>
        <v>CAMPGROUND</v>
      </c>
      <c r="H33" s="44" t="str">
        <f t="shared" si="11"/>
        <v>CL. PAVILION</v>
      </c>
      <c r="I33" s="44" t="str">
        <f t="shared" si="11"/>
        <v>PARK CABINS</v>
      </c>
      <c r="J33" s="44" t="str">
        <f t="shared" si="11"/>
        <v>BEACH AREA</v>
      </c>
      <c r="K33" s="44" t="str">
        <f t="shared" si="11"/>
        <v>TOTAL</v>
      </c>
    </row>
    <row r="34" spans="1:11" ht="12.75">
      <c r="A34" s="16"/>
      <c r="B34" s="25" t="s">
        <v>62</v>
      </c>
      <c r="C34" s="4"/>
      <c r="D34" s="1"/>
      <c r="E34" s="7">
        <v>1</v>
      </c>
      <c r="F34" s="7">
        <v>1</v>
      </c>
      <c r="G34" s="7">
        <v>12</v>
      </c>
      <c r="H34" s="7">
        <v>4</v>
      </c>
      <c r="I34" s="7">
        <v>21</v>
      </c>
      <c r="J34" s="7">
        <v>1</v>
      </c>
      <c r="K34" s="4"/>
    </row>
    <row r="35" spans="1:11" ht="12.75">
      <c r="A35" s="16"/>
      <c r="B35" s="25" t="s">
        <v>63</v>
      </c>
      <c r="C35" s="4"/>
      <c r="D35" s="1"/>
      <c r="E35" s="7">
        <v>180</v>
      </c>
      <c r="F35" s="7">
        <v>180</v>
      </c>
      <c r="G35" s="7">
        <v>100</v>
      </c>
      <c r="H35" s="7">
        <v>160</v>
      </c>
      <c r="I35" s="7">
        <v>180</v>
      </c>
      <c r="J35" s="7">
        <v>180</v>
      </c>
      <c r="K35" s="12"/>
    </row>
    <row r="36" spans="2:11" ht="12.75">
      <c r="B36" s="25" t="s">
        <v>43</v>
      </c>
      <c r="C36" s="8"/>
      <c r="D36" s="8"/>
      <c r="E36" s="8">
        <f>E34*E35*1</f>
        <v>180</v>
      </c>
      <c r="F36" s="8">
        <f>F34*F35*1</f>
        <v>180</v>
      </c>
      <c r="G36" s="8">
        <f>G34*G35*0.25</f>
        <v>300</v>
      </c>
      <c r="H36" s="8">
        <f>H34*H35*1</f>
        <v>640</v>
      </c>
      <c r="I36" s="8">
        <f>I34*I35*2.5</f>
        <v>9450</v>
      </c>
      <c r="J36" s="8">
        <f>J34*J35*1</f>
        <v>180</v>
      </c>
      <c r="K36" s="8"/>
    </row>
    <row r="37" spans="2:11" ht="12.75">
      <c r="B37" s="25" t="s">
        <v>44</v>
      </c>
      <c r="C37" s="8"/>
      <c r="D37" s="8"/>
      <c r="E37" s="43">
        <v>15</v>
      </c>
      <c r="F37" s="43">
        <v>15</v>
      </c>
      <c r="G37" s="43">
        <v>15</v>
      </c>
      <c r="H37" s="43">
        <v>15</v>
      </c>
      <c r="I37" s="43">
        <v>11</v>
      </c>
      <c r="J37" s="43">
        <v>15</v>
      </c>
      <c r="K37" s="43"/>
    </row>
    <row r="38" spans="2:11" ht="12.75">
      <c r="B38" s="25" t="s">
        <v>45</v>
      </c>
      <c r="C38" s="8"/>
      <c r="D38" s="8"/>
      <c r="E38" s="37">
        <f aca="true" t="shared" si="12" ref="E38:J38">E36*E37</f>
        <v>2700</v>
      </c>
      <c r="F38" s="37">
        <f t="shared" si="12"/>
        <v>2700</v>
      </c>
      <c r="G38" s="37">
        <f t="shared" si="12"/>
        <v>4500</v>
      </c>
      <c r="H38" s="37">
        <f t="shared" si="12"/>
        <v>9600</v>
      </c>
      <c r="I38" s="37">
        <f t="shared" si="12"/>
        <v>103950</v>
      </c>
      <c r="J38" s="37">
        <f t="shared" si="12"/>
        <v>2700</v>
      </c>
      <c r="K38" s="37">
        <f>SUM(E38:J38)</f>
        <v>126150</v>
      </c>
    </row>
    <row r="39" spans="2:11" ht="12.75">
      <c r="B39" s="25" t="s">
        <v>46</v>
      </c>
      <c r="C39" s="8"/>
      <c r="D39" s="33">
        <v>0.075</v>
      </c>
      <c r="E39" s="38">
        <f aca="true" t="shared" si="13" ref="E39:J39">ROUND(E38*$D$39,-2)</f>
        <v>200</v>
      </c>
      <c r="F39" s="38">
        <f t="shared" si="13"/>
        <v>200</v>
      </c>
      <c r="G39" s="38">
        <f t="shared" si="13"/>
        <v>300</v>
      </c>
      <c r="H39" s="38">
        <f t="shared" si="13"/>
        <v>700</v>
      </c>
      <c r="I39" s="38">
        <f t="shared" si="13"/>
        <v>7800</v>
      </c>
      <c r="J39" s="38">
        <f t="shared" si="13"/>
        <v>200</v>
      </c>
      <c r="K39" s="38">
        <f>SUM(D39:J39)</f>
        <v>9400.075</v>
      </c>
    </row>
    <row r="40" spans="2:11" ht="12.75">
      <c r="B40" s="25" t="s">
        <v>47</v>
      </c>
      <c r="C40" s="8"/>
      <c r="D40" s="8"/>
      <c r="E40" s="42">
        <f aca="true" t="shared" si="14" ref="E40:J40">SUM(E38:E39)</f>
        <v>2900</v>
      </c>
      <c r="F40" s="42">
        <f t="shared" si="14"/>
        <v>2900</v>
      </c>
      <c r="G40" s="42">
        <f t="shared" si="14"/>
        <v>4800</v>
      </c>
      <c r="H40" s="42">
        <f t="shared" si="14"/>
        <v>10300</v>
      </c>
      <c r="I40" s="42">
        <f t="shared" si="14"/>
        <v>111750</v>
      </c>
      <c r="J40" s="42">
        <f t="shared" si="14"/>
        <v>2900</v>
      </c>
      <c r="K40" s="42">
        <f aca="true" t="shared" si="15" ref="K40:K46">SUM(E40:J40)</f>
        <v>135550</v>
      </c>
    </row>
    <row r="41" spans="2:11" ht="12.75">
      <c r="B41" s="25" t="s">
        <v>48</v>
      </c>
      <c r="C41" s="8"/>
      <c r="D41" s="8"/>
      <c r="E41" s="39">
        <v>200</v>
      </c>
      <c r="F41" s="39">
        <v>500</v>
      </c>
      <c r="G41" s="39">
        <v>240</v>
      </c>
      <c r="H41" s="39">
        <v>200</v>
      </c>
      <c r="I41" s="40">
        <f>I16*4000</f>
        <v>84000</v>
      </c>
      <c r="J41" s="39">
        <v>200</v>
      </c>
      <c r="K41" s="39">
        <f t="shared" si="15"/>
        <v>85340</v>
      </c>
    </row>
    <row r="42" spans="2:11" ht="12.75">
      <c r="B42" s="25" t="s">
        <v>49</v>
      </c>
      <c r="C42" s="8"/>
      <c r="D42" s="8"/>
      <c r="E42" s="39"/>
      <c r="F42" s="39"/>
      <c r="G42" s="39">
        <f>(G34*G35)*4</f>
        <v>4800</v>
      </c>
      <c r="H42" s="39"/>
      <c r="I42" s="40">
        <f>I16*900</f>
        <v>18900</v>
      </c>
      <c r="J42" s="39"/>
      <c r="K42" s="39">
        <f t="shared" si="15"/>
        <v>23700</v>
      </c>
    </row>
    <row r="43" spans="2:11" ht="12.75">
      <c r="B43" s="25" t="s">
        <v>160</v>
      </c>
      <c r="C43" s="8"/>
      <c r="D43" s="8"/>
      <c r="E43" s="39"/>
      <c r="F43" s="39"/>
      <c r="G43" s="39"/>
      <c r="H43" s="39"/>
      <c r="I43" s="40"/>
      <c r="J43" s="39"/>
      <c r="K43" s="39"/>
    </row>
    <row r="44" spans="2:11" ht="12.75">
      <c r="B44" s="25" t="s">
        <v>50</v>
      </c>
      <c r="C44" s="8"/>
      <c r="D44" s="8"/>
      <c r="E44" s="40"/>
      <c r="F44" s="40"/>
      <c r="G44" s="40"/>
      <c r="H44" s="40"/>
      <c r="I44" s="40">
        <f>I16*350</f>
        <v>7350</v>
      </c>
      <c r="J44" s="40"/>
      <c r="K44" s="39">
        <f t="shared" si="15"/>
        <v>7350</v>
      </c>
    </row>
    <row r="45" spans="2:11" ht="12.75">
      <c r="B45" s="25" t="s">
        <v>61</v>
      </c>
      <c r="C45" s="8"/>
      <c r="D45" s="33">
        <v>0.2</v>
      </c>
      <c r="E45" s="41">
        <f aca="true" t="shared" si="16" ref="E45:J45">ROUND(SUM(E40:E44)*$D$45,-2)</f>
        <v>600</v>
      </c>
      <c r="F45" s="41">
        <f t="shared" si="16"/>
        <v>700</v>
      </c>
      <c r="G45" s="41">
        <f t="shared" si="16"/>
        <v>2000</v>
      </c>
      <c r="H45" s="41">
        <f t="shared" si="16"/>
        <v>2100</v>
      </c>
      <c r="I45" s="41">
        <f t="shared" si="16"/>
        <v>44400</v>
      </c>
      <c r="J45" s="41">
        <f t="shared" si="16"/>
        <v>600</v>
      </c>
      <c r="K45" s="41">
        <f t="shared" si="15"/>
        <v>50400</v>
      </c>
    </row>
    <row r="46" spans="2:11" ht="13.5" thickBot="1">
      <c r="B46" s="34" t="s">
        <v>51</v>
      </c>
      <c r="C46" s="8"/>
      <c r="D46" s="8"/>
      <c r="E46" s="58">
        <f aca="true" t="shared" si="17" ref="E46:J46">SUM(E40:E45)</f>
        <v>3700</v>
      </c>
      <c r="F46" s="58">
        <f t="shared" si="17"/>
        <v>4100</v>
      </c>
      <c r="G46" s="58">
        <f t="shared" si="17"/>
        <v>11840</v>
      </c>
      <c r="H46" s="58">
        <f t="shared" si="17"/>
        <v>12600</v>
      </c>
      <c r="I46" s="58">
        <f t="shared" si="17"/>
        <v>266400</v>
      </c>
      <c r="J46" s="58">
        <f t="shared" si="17"/>
        <v>3700</v>
      </c>
      <c r="K46" s="58">
        <f t="shared" si="15"/>
        <v>302340</v>
      </c>
    </row>
    <row r="47" spans="2:11" ht="13.5" thickTop="1">
      <c r="B47" s="7"/>
      <c r="C47" s="8"/>
      <c r="D47" s="8"/>
      <c r="E47" s="8"/>
      <c r="F47" s="8"/>
      <c r="G47" s="8"/>
      <c r="H47" s="8"/>
      <c r="I47" s="8"/>
      <c r="J47" s="8"/>
      <c r="K47" s="12"/>
    </row>
    <row r="48" spans="2:11" ht="12.75">
      <c r="B48" s="7"/>
      <c r="C48" s="8"/>
      <c r="D48" s="8"/>
      <c r="E48" s="8"/>
      <c r="F48" s="8"/>
      <c r="G48" s="8"/>
      <c r="H48" s="8"/>
      <c r="I48" s="8"/>
      <c r="J48" s="8"/>
      <c r="K48" s="12"/>
    </row>
    <row r="49" spans="1:11" ht="13.5" thickBot="1">
      <c r="A49" s="26" t="s">
        <v>10</v>
      </c>
      <c r="B49" s="27" t="s">
        <v>58</v>
      </c>
      <c r="C49" s="30"/>
      <c r="D49" s="30"/>
      <c r="E49" s="44" t="str">
        <f aca="true" t="shared" si="18" ref="E49:K49">E33</f>
        <v>BOAT RAMP/PARKING</v>
      </c>
      <c r="F49" s="44" t="str">
        <f t="shared" si="18"/>
        <v>BOAT STORAGE</v>
      </c>
      <c r="G49" s="44" t="str">
        <f t="shared" si="18"/>
        <v>CAMPGROUND</v>
      </c>
      <c r="H49" s="44" t="str">
        <f t="shared" si="18"/>
        <v>CL. PAVILION</v>
      </c>
      <c r="I49" s="44" t="str">
        <f t="shared" si="18"/>
        <v>PARK CABINS</v>
      </c>
      <c r="J49" s="44" t="str">
        <f t="shared" si="18"/>
        <v>BEACH AREA</v>
      </c>
      <c r="K49" s="47" t="str">
        <f t="shared" si="18"/>
        <v>TOTAL</v>
      </c>
    </row>
    <row r="50" spans="1:11" ht="12.75">
      <c r="A50" s="16"/>
      <c r="B50" s="25" t="s">
        <v>62</v>
      </c>
      <c r="C50" s="7"/>
      <c r="D50" s="7"/>
      <c r="E50" s="7">
        <v>1</v>
      </c>
      <c r="F50" s="7">
        <v>1</v>
      </c>
      <c r="G50" s="7">
        <v>12</v>
      </c>
      <c r="H50" s="7">
        <v>7</v>
      </c>
      <c r="I50" s="7">
        <v>21</v>
      </c>
      <c r="J50" s="7">
        <v>1</v>
      </c>
      <c r="K50" s="12"/>
    </row>
    <row r="51" spans="1:11" ht="12.75">
      <c r="A51" s="16"/>
      <c r="B51" s="25" t="s">
        <v>64</v>
      </c>
      <c r="C51" s="7"/>
      <c r="D51" s="7"/>
      <c r="E51" s="7">
        <v>180</v>
      </c>
      <c r="F51" s="7">
        <v>180</v>
      </c>
      <c r="G51" s="7">
        <v>100</v>
      </c>
      <c r="H51" s="7">
        <v>160</v>
      </c>
      <c r="I51" s="7">
        <v>180</v>
      </c>
      <c r="J51" s="7">
        <v>180</v>
      </c>
      <c r="K51" s="12"/>
    </row>
    <row r="52" spans="2:11" ht="12.75">
      <c r="B52" s="25" t="s">
        <v>65</v>
      </c>
      <c r="C52" s="8"/>
      <c r="D52" s="8"/>
      <c r="E52" s="31">
        <v>7</v>
      </c>
      <c r="F52" s="31">
        <v>2.5</v>
      </c>
      <c r="G52" s="31">
        <v>27</v>
      </c>
      <c r="H52" s="31">
        <v>60</v>
      </c>
      <c r="I52" s="31">
        <v>100</v>
      </c>
      <c r="J52" s="31">
        <v>7</v>
      </c>
      <c r="K52" s="12"/>
    </row>
    <row r="53" spans="2:11" ht="12.75">
      <c r="B53" s="25" t="s">
        <v>66</v>
      </c>
      <c r="C53" s="8"/>
      <c r="D53" s="8"/>
      <c r="E53" s="24">
        <v>30</v>
      </c>
      <c r="F53" s="24">
        <v>30</v>
      </c>
      <c r="G53" s="24">
        <v>1</v>
      </c>
      <c r="H53" s="24">
        <v>1</v>
      </c>
      <c r="I53" s="24">
        <v>1</v>
      </c>
      <c r="J53" s="24">
        <v>10</v>
      </c>
      <c r="K53" s="24"/>
    </row>
    <row r="54" spans="2:11" ht="13.5" thickBot="1">
      <c r="B54" s="34" t="s">
        <v>52</v>
      </c>
      <c r="C54" s="8"/>
      <c r="D54" s="8"/>
      <c r="E54" s="49">
        <f aca="true" t="shared" si="19" ref="E54:J54">E50*E51*E52*E53</f>
        <v>37800</v>
      </c>
      <c r="F54" s="49">
        <f t="shared" si="19"/>
        <v>13500</v>
      </c>
      <c r="G54" s="49">
        <f t="shared" si="19"/>
        <v>32400</v>
      </c>
      <c r="H54" s="49">
        <f t="shared" si="19"/>
        <v>67200</v>
      </c>
      <c r="I54" s="49">
        <f t="shared" si="19"/>
        <v>378000</v>
      </c>
      <c r="J54" s="49">
        <f t="shared" si="19"/>
        <v>12600</v>
      </c>
      <c r="K54" s="49">
        <f>SUM(E54:J54)</f>
        <v>541500</v>
      </c>
    </row>
    <row r="55" spans="2:11" ht="13.5" thickTop="1">
      <c r="B55" s="25"/>
      <c r="C55" s="8"/>
      <c r="D55" s="8"/>
      <c r="E55" s="8"/>
      <c r="F55" s="8"/>
      <c r="G55" s="8"/>
      <c r="H55" s="8"/>
      <c r="I55" s="8"/>
      <c r="J55" s="8"/>
      <c r="K55" s="8"/>
    </row>
    <row r="56" spans="2:11" ht="12.75">
      <c r="B56" s="25"/>
      <c r="C56" s="8"/>
      <c r="D56" s="8"/>
      <c r="E56" s="8"/>
      <c r="F56" s="8"/>
      <c r="G56" s="8"/>
      <c r="H56" s="8"/>
      <c r="I56" s="8"/>
      <c r="J56" s="8"/>
      <c r="K56" s="8"/>
    </row>
    <row r="57" spans="1:11" ht="13.5" thickBot="1">
      <c r="A57" s="26" t="s">
        <v>69</v>
      </c>
      <c r="B57" s="27" t="s">
        <v>68</v>
      </c>
      <c r="C57" s="30"/>
      <c r="D57" s="30"/>
      <c r="E57" s="44" t="str">
        <f aca="true" t="shared" si="20" ref="E57:K57">E49</f>
        <v>BOAT RAMP/PARKING</v>
      </c>
      <c r="F57" s="44" t="str">
        <f t="shared" si="20"/>
        <v>BOAT STORAGE</v>
      </c>
      <c r="G57" s="44" t="str">
        <f t="shared" si="20"/>
        <v>CAMPGROUND</v>
      </c>
      <c r="H57" s="44" t="str">
        <f t="shared" si="20"/>
        <v>CL. PAVILION</v>
      </c>
      <c r="I57" s="44" t="str">
        <f t="shared" si="20"/>
        <v>PARK CABINS</v>
      </c>
      <c r="J57" s="44" t="str">
        <f t="shared" si="20"/>
        <v>BEACH AREA</v>
      </c>
      <c r="K57" s="47" t="str">
        <f t="shared" si="20"/>
        <v>TOTAL</v>
      </c>
    </row>
    <row r="58" spans="2:11" ht="12.75">
      <c r="B58" s="25" t="s">
        <v>53</v>
      </c>
      <c r="C58" s="8"/>
      <c r="D58" s="8"/>
      <c r="E58" s="48">
        <f aca="true" t="shared" si="21" ref="E58:K58">E54-E46</f>
        <v>34100</v>
      </c>
      <c r="F58" s="48">
        <f t="shared" si="21"/>
        <v>9400</v>
      </c>
      <c r="G58" s="48">
        <f t="shared" si="21"/>
        <v>20560</v>
      </c>
      <c r="H58" s="48">
        <f t="shared" si="21"/>
        <v>54600</v>
      </c>
      <c r="I58" s="48">
        <f t="shared" si="21"/>
        <v>111600</v>
      </c>
      <c r="J58" s="48">
        <f t="shared" si="21"/>
        <v>8900</v>
      </c>
      <c r="K58" s="48">
        <f t="shared" si="21"/>
        <v>239160</v>
      </c>
    </row>
    <row r="59" spans="2:11" ht="12.75">
      <c r="B59" s="25" t="s">
        <v>54</v>
      </c>
      <c r="C59" s="8"/>
      <c r="D59" s="8"/>
      <c r="E59" s="50">
        <f aca="true" t="shared" si="22" ref="E59:K59">E30</f>
        <v>833000</v>
      </c>
      <c r="F59" s="50">
        <f t="shared" si="22"/>
        <v>18000</v>
      </c>
      <c r="G59" s="50">
        <f t="shared" si="22"/>
        <v>679000</v>
      </c>
      <c r="H59" s="50">
        <f t="shared" si="22"/>
        <v>878000</v>
      </c>
      <c r="I59" s="50">
        <f t="shared" si="22"/>
        <v>1712000</v>
      </c>
      <c r="J59" s="50">
        <f t="shared" si="22"/>
        <v>546000</v>
      </c>
      <c r="K59" s="50">
        <f t="shared" si="22"/>
        <v>4666000</v>
      </c>
    </row>
    <row r="60" spans="2:11" ht="12.75">
      <c r="B60" s="25" t="s">
        <v>55</v>
      </c>
      <c r="C60" s="8"/>
      <c r="D60" s="8"/>
      <c r="E60" s="20">
        <f aca="true" t="shared" si="23" ref="E60:K60">IF(ISERROR(E59/E58),0,E59/E58)</f>
        <v>24.428152492668623</v>
      </c>
      <c r="F60" s="20">
        <f t="shared" si="23"/>
        <v>1.9148936170212767</v>
      </c>
      <c r="G60" s="20">
        <f t="shared" si="23"/>
        <v>33.025291828793776</v>
      </c>
      <c r="H60" s="20">
        <f t="shared" si="23"/>
        <v>16.08058608058608</v>
      </c>
      <c r="I60" s="20">
        <f t="shared" si="23"/>
        <v>15.340501792114695</v>
      </c>
      <c r="J60" s="20">
        <f t="shared" si="23"/>
        <v>61.348314606741575</v>
      </c>
      <c r="K60" s="20">
        <f t="shared" si="23"/>
        <v>19.50995149690584</v>
      </c>
    </row>
    <row r="61" spans="2:11" ht="12.75">
      <c r="B61" s="25" t="s">
        <v>80</v>
      </c>
      <c r="C61" s="8"/>
      <c r="D61" s="8"/>
      <c r="E61" s="32">
        <f aca="true" t="shared" si="24" ref="E61:K61">IF(ISERROR(E58/E59),0,E58/E59)</f>
        <v>0.04093637454981993</v>
      </c>
      <c r="F61" s="32">
        <f t="shared" si="24"/>
        <v>0.5222222222222223</v>
      </c>
      <c r="G61" s="32">
        <f t="shared" si="24"/>
        <v>0.030279823269513992</v>
      </c>
      <c r="H61" s="32">
        <f t="shared" si="24"/>
        <v>0.0621867881548975</v>
      </c>
      <c r="I61" s="32">
        <f t="shared" si="24"/>
        <v>0.06518691588785047</v>
      </c>
      <c r="J61" s="32">
        <f t="shared" si="24"/>
        <v>0.0163003663003663</v>
      </c>
      <c r="K61" s="32">
        <f t="shared" si="24"/>
        <v>0.05125589369909987</v>
      </c>
    </row>
    <row r="62" spans="2:11" ht="12.75">
      <c r="B62" s="25" t="s">
        <v>81</v>
      </c>
      <c r="C62" s="8"/>
      <c r="D62" s="8"/>
      <c r="E62" s="32">
        <f aca="true" t="shared" si="25" ref="E62:K62">IF(ISERROR(RATE($D$5,E58,-E59)),E61,RATE($D$5,E58,-E59))</f>
        <v>0.013803505071214073</v>
      </c>
      <c r="F62" s="32">
        <f t="shared" si="25"/>
        <v>0.5222222222222223</v>
      </c>
      <c r="G62" s="32">
        <f t="shared" si="25"/>
        <v>-0.006089708823641988</v>
      </c>
      <c r="H62" s="32">
        <f t="shared" si="25"/>
        <v>0.04609774963065772</v>
      </c>
      <c r="I62" s="32">
        <f t="shared" si="25"/>
        <v>0.050182619109120336</v>
      </c>
      <c r="J62" s="32">
        <f t="shared" si="25"/>
        <v>-0.041086189632262654</v>
      </c>
      <c r="K62" s="32">
        <f t="shared" si="25"/>
        <v>0.03035838447564659</v>
      </c>
    </row>
    <row r="63" spans="2:11" ht="12.75">
      <c r="B63" s="25" t="s">
        <v>79</v>
      </c>
      <c r="C63" s="8"/>
      <c r="D63" s="8"/>
      <c r="E63" s="60">
        <f aca="true" t="shared" si="26" ref="E63:K63">ROUND(PV($D$4,$D$5,-E58)-E59,-3)</f>
        <v>-147000</v>
      </c>
      <c r="F63" s="60">
        <f t="shared" si="26"/>
        <v>171000</v>
      </c>
      <c r="G63" s="60">
        <f t="shared" si="26"/>
        <v>-265000</v>
      </c>
      <c r="H63" s="60">
        <f t="shared" si="26"/>
        <v>220000</v>
      </c>
      <c r="I63" s="60">
        <f t="shared" si="26"/>
        <v>533000</v>
      </c>
      <c r="J63" s="60">
        <f t="shared" si="26"/>
        <v>-367000</v>
      </c>
      <c r="K63" s="60">
        <f t="shared" si="26"/>
        <v>145000</v>
      </c>
    </row>
    <row r="64" spans="3:11" ht="12.75">
      <c r="C64" s="8"/>
      <c r="D64" s="8"/>
      <c r="E64" s="52"/>
      <c r="F64" s="8"/>
      <c r="G64" s="8"/>
      <c r="H64" s="8"/>
      <c r="I64" s="8"/>
      <c r="J64" s="8"/>
      <c r="K64" s="8"/>
    </row>
    <row r="65" spans="3:11" ht="12.75">
      <c r="C65" s="8"/>
      <c r="D65" s="8"/>
      <c r="E65" s="52"/>
      <c r="F65" s="8"/>
      <c r="G65" s="8"/>
      <c r="H65" s="8"/>
      <c r="I65" s="8"/>
      <c r="J65" s="8"/>
      <c r="K65" s="8"/>
    </row>
    <row r="66" spans="1:11" ht="13.5" thickBot="1">
      <c r="A66" s="26" t="s">
        <v>70</v>
      </c>
      <c r="B66" s="27" t="s">
        <v>60</v>
      </c>
      <c r="C66" s="30"/>
      <c r="D66" s="30"/>
      <c r="E66" s="44" t="str">
        <f aca="true" t="shared" si="27" ref="E66:K66">E57</f>
        <v>BOAT RAMP/PARKING</v>
      </c>
      <c r="F66" s="44" t="str">
        <f t="shared" si="27"/>
        <v>BOAT STORAGE</v>
      </c>
      <c r="G66" s="44" t="str">
        <f t="shared" si="27"/>
        <v>CAMPGROUND</v>
      </c>
      <c r="H66" s="44" t="str">
        <f t="shared" si="27"/>
        <v>CL. PAVILION</v>
      </c>
      <c r="I66" s="44" t="str">
        <f t="shared" si="27"/>
        <v>PARK CABINS</v>
      </c>
      <c r="J66" s="44" t="str">
        <f t="shared" si="27"/>
        <v>BEACH AREA</v>
      </c>
      <c r="K66" s="47" t="str">
        <f t="shared" si="27"/>
        <v>TOTAL</v>
      </c>
    </row>
    <row r="67" spans="2:11" ht="12.75">
      <c r="B67" s="25" t="s">
        <v>74</v>
      </c>
      <c r="C67" s="8"/>
      <c r="D67" s="8"/>
      <c r="E67" s="48">
        <f aca="true" t="shared" si="28" ref="E67:K67">PMT($D$4,$D$5,-E30)+E46</f>
        <v>45107.72770109357</v>
      </c>
      <c r="F67" s="48">
        <f t="shared" si="28"/>
        <v>4994.76482427333</v>
      </c>
      <c r="G67" s="48">
        <f t="shared" si="28"/>
        <v>45592.517537866195</v>
      </c>
      <c r="H67" s="48">
        <f t="shared" si="28"/>
        <v>56244.6397617769</v>
      </c>
      <c r="I67" s="48">
        <f t="shared" si="28"/>
        <v>351502.07661977457</v>
      </c>
      <c r="J67" s="48">
        <f t="shared" si="28"/>
        <v>30841.199669624362</v>
      </c>
      <c r="K67" s="48">
        <f t="shared" si="28"/>
        <v>534282.9261144089</v>
      </c>
    </row>
    <row r="68" spans="2:11" ht="12.75">
      <c r="B68" s="25" t="s">
        <v>73</v>
      </c>
      <c r="E68" s="53">
        <f aca="true" t="shared" si="29" ref="E68:J68">IF(ISERROR(E67/(E53*E52*E50)),0,E67/(E53*E52*E50))</f>
        <v>214.79870333854083</v>
      </c>
      <c r="F68" s="53">
        <f t="shared" si="29"/>
        <v>66.59686432364441</v>
      </c>
      <c r="G68" s="53">
        <f t="shared" si="29"/>
        <v>140.71764672180925</v>
      </c>
      <c r="H68" s="53">
        <f t="shared" si="29"/>
        <v>133.91580895661167</v>
      </c>
      <c r="I68" s="53">
        <f t="shared" si="29"/>
        <v>167.3819412475117</v>
      </c>
      <c r="J68" s="53">
        <f t="shared" si="29"/>
        <v>440.5885667089195</v>
      </c>
      <c r="K68" s="20"/>
    </row>
    <row r="69" spans="2:10" ht="12.75">
      <c r="B69" s="25" t="s">
        <v>71</v>
      </c>
      <c r="E69" s="31">
        <f aca="true" t="shared" si="30" ref="E69:J69">IF(ISERROR((E67+E46)/(E50*E51*E53)),0,E67/(E50*E51*E53))</f>
        <v>8.353282907609922</v>
      </c>
      <c r="F69" s="31">
        <f t="shared" si="30"/>
        <v>0.9249564489395056</v>
      </c>
      <c r="G69" s="31">
        <f t="shared" si="30"/>
        <v>37.9937646148885</v>
      </c>
      <c r="H69" s="31">
        <f t="shared" si="30"/>
        <v>50.218428358729376</v>
      </c>
      <c r="I69" s="31">
        <f t="shared" si="30"/>
        <v>92.98996735972872</v>
      </c>
      <c r="J69" s="31">
        <f t="shared" si="30"/>
        <v>17.13399981645798</v>
      </c>
    </row>
    <row r="70" spans="2:10" ht="12.75">
      <c r="B70" s="25" t="s">
        <v>72</v>
      </c>
      <c r="E70" s="51">
        <f aca="true" t="shared" si="31" ref="E70:J70">IF(ISERROR(E67/(E52*E51*E50)),0,E67/(E52*E51*E50))</f>
        <v>35.7997838897568</v>
      </c>
      <c r="F70" s="51">
        <f t="shared" si="31"/>
        <v>11.099477387274067</v>
      </c>
      <c r="G70" s="51">
        <f t="shared" si="31"/>
        <v>1.4071764672180924</v>
      </c>
      <c r="H70" s="51">
        <f t="shared" si="31"/>
        <v>0.836973805978823</v>
      </c>
      <c r="I70" s="51">
        <f t="shared" si="31"/>
        <v>0.9298996735972872</v>
      </c>
      <c r="J70" s="51">
        <f t="shared" si="31"/>
        <v>24.47714259493997</v>
      </c>
    </row>
  </sheetData>
  <sheetProtection sheet="1" objects="1" scenarios="1" formatCells="0" formatColumns="0" formatRows="0" insertColumns="0" insertRows="0" insertHyperlinks="0" deleteColumns="0" deleteRows="0"/>
  <protectedRanges>
    <protectedRange sqref="A1:K2" name="Title"/>
    <protectedRange sqref="A6:K20" name="Breakdown by Facility"/>
    <protectedRange sqref="D22:D23 D25 D27:D28" name="Construction Percentages"/>
    <protectedRange sqref="E34:J37 D39 E41:J44 D45" name="Operating Costs"/>
    <protectedRange sqref="E50:J53" name="Revenue"/>
  </protectedRanges>
  <mergeCells count="3">
    <mergeCell ref="E5:K5"/>
    <mergeCell ref="A1:K1"/>
    <mergeCell ref="A2:K2"/>
  </mergeCells>
  <printOptions/>
  <pageMargins left="0.75" right="0.75" top="1" bottom="1" header="0.5" footer="0.5"/>
  <pageSetup firstPageNumber="22" useFirstPageNumber="1" horizontalDpi="600" verticalDpi="600" orientation="portrait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2" sqref="A2:D2"/>
    </sheetView>
  </sheetViews>
  <sheetFormatPr defaultColWidth="9.140625" defaultRowHeight="12.75"/>
  <cols>
    <col min="1" max="1" width="26.8515625" style="0" bestFit="1" customWidth="1"/>
    <col min="2" max="2" width="9.7109375" style="0" bestFit="1" customWidth="1"/>
    <col min="3" max="3" width="11.57421875" style="0" bestFit="1" customWidth="1"/>
    <col min="4" max="4" width="11.8515625" style="0" bestFit="1" customWidth="1"/>
  </cols>
  <sheetData>
    <row r="1" spans="1:4" ht="15.75">
      <c r="A1" s="112" t="s">
        <v>173</v>
      </c>
      <c r="B1" s="111"/>
      <c r="C1" s="111"/>
      <c r="D1" s="111"/>
    </row>
    <row r="2" spans="1:4" ht="15">
      <c r="A2" s="113" t="s">
        <v>191</v>
      </c>
      <c r="B2" s="114"/>
      <c r="C2" s="114"/>
      <c r="D2" s="114"/>
    </row>
    <row r="3" spans="1:4" ht="15">
      <c r="A3" s="83"/>
      <c r="B3" s="82"/>
      <c r="C3" s="82"/>
      <c r="D3" s="82"/>
    </row>
    <row r="4" spans="1:4" ht="12.75">
      <c r="A4" s="104" t="s">
        <v>186</v>
      </c>
      <c r="B4" s="93" t="s">
        <v>179</v>
      </c>
      <c r="C4" s="93" t="s">
        <v>180</v>
      </c>
      <c r="D4" s="103" t="s">
        <v>181</v>
      </c>
    </row>
    <row r="5" spans="1:4" ht="12.75">
      <c r="A5" s="105" t="s">
        <v>187</v>
      </c>
      <c r="B5" s="73">
        <f>B10-(B9+B8+B7+B6)</f>
        <v>183052</v>
      </c>
      <c r="C5" s="73">
        <f>C10-C9-C8-C7-C6</f>
        <v>336872</v>
      </c>
      <c r="D5" s="75">
        <f aca="true" t="shared" si="0" ref="D5:D10">C5-B5</f>
        <v>153820</v>
      </c>
    </row>
    <row r="6" spans="1:4" ht="12.75">
      <c r="A6" s="105" t="s">
        <v>188</v>
      </c>
      <c r="B6" s="73">
        <f>'Comparison 1'!B9</f>
        <v>4970</v>
      </c>
      <c r="C6" s="73">
        <f>'Comparison 1'!C9</f>
        <v>88890</v>
      </c>
      <c r="D6" s="78">
        <f t="shared" si="0"/>
        <v>83920</v>
      </c>
    </row>
    <row r="7" spans="1:4" ht="12.75">
      <c r="A7" s="105" t="s">
        <v>49</v>
      </c>
      <c r="B7" s="71">
        <f>'Comparison 1'!B10</f>
        <v>10425</v>
      </c>
      <c r="C7" s="71">
        <f>'Comparison 1'!C10</f>
        <v>23725</v>
      </c>
      <c r="D7" s="76">
        <f t="shared" si="0"/>
        <v>13300</v>
      </c>
    </row>
    <row r="8" spans="1:4" ht="12.75">
      <c r="A8" s="105" t="s">
        <v>189</v>
      </c>
      <c r="B8" s="73">
        <f>'Comparison 1'!B11</f>
        <v>2250</v>
      </c>
      <c r="C8" s="73">
        <f>'Comparison 1'!C11</f>
        <v>9600</v>
      </c>
      <c r="D8" s="78">
        <f t="shared" si="0"/>
        <v>7350</v>
      </c>
    </row>
    <row r="9" spans="1:4" ht="12.75">
      <c r="A9" s="105" t="s">
        <v>61</v>
      </c>
      <c r="B9" s="73">
        <f>'Comparison 1'!B12</f>
        <v>17200</v>
      </c>
      <c r="C9" s="73">
        <f>'Comparison 1'!C12</f>
        <v>60800</v>
      </c>
      <c r="D9" s="76">
        <f t="shared" si="0"/>
        <v>43600</v>
      </c>
    </row>
    <row r="10" spans="1:4" ht="12.75">
      <c r="A10" s="106" t="s">
        <v>185</v>
      </c>
      <c r="B10" s="72">
        <f>'Annual Funds'!B11</f>
        <v>217897</v>
      </c>
      <c r="C10" s="72">
        <f>'Annual Funds'!C11</f>
        <v>519887</v>
      </c>
      <c r="D10" s="74">
        <f t="shared" si="0"/>
        <v>301990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Y70"/>
  <sheetViews>
    <sheetView workbookViewId="0" topLeftCell="A1">
      <selection activeCell="A1" sqref="A1:J1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14.8515625" style="0" customWidth="1"/>
    <col min="4" max="4" width="5.421875" style="0" customWidth="1"/>
    <col min="5" max="5" width="16.8515625" style="0" bestFit="1" customWidth="1"/>
    <col min="6" max="6" width="12.8515625" style="0" bestFit="1" customWidth="1"/>
    <col min="7" max="7" width="10.7109375" style="0" bestFit="1" customWidth="1"/>
    <col min="8" max="8" width="12.00390625" style="0" bestFit="1" customWidth="1"/>
    <col min="9" max="9" width="11.28125" style="0" bestFit="1" customWidth="1"/>
    <col min="10" max="10" width="12.00390625" style="0" bestFit="1" customWidth="1"/>
  </cols>
  <sheetData>
    <row r="1" spans="1:10" ht="15.75">
      <c r="A1" s="108" t="s">
        <v>163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5">
      <c r="A2" s="109" t="s">
        <v>29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7" t="s">
        <v>78</v>
      </c>
      <c r="D4" s="3">
        <v>0.028</v>
      </c>
      <c r="E4" s="1"/>
    </row>
    <row r="5" spans="1:10" ht="13.5" thickBot="1">
      <c r="A5" s="26" t="s">
        <v>4</v>
      </c>
      <c r="B5" s="26" t="s">
        <v>59</v>
      </c>
      <c r="C5" s="56" t="s">
        <v>0</v>
      </c>
      <c r="D5" s="29">
        <v>30</v>
      </c>
      <c r="E5" s="107" t="s">
        <v>56</v>
      </c>
      <c r="F5" s="107"/>
      <c r="G5" s="107"/>
      <c r="H5" s="107"/>
      <c r="I5" s="107"/>
      <c r="J5" s="107"/>
    </row>
    <row r="6" spans="1:10" ht="12.75">
      <c r="A6" s="1"/>
      <c r="B6" s="2" t="s">
        <v>1</v>
      </c>
      <c r="C6" s="2" t="s">
        <v>3</v>
      </c>
      <c r="D6" s="2" t="s">
        <v>2</v>
      </c>
      <c r="E6" s="23" t="s">
        <v>67</v>
      </c>
      <c r="F6" s="45" t="s">
        <v>32</v>
      </c>
      <c r="G6" s="45" t="s">
        <v>41</v>
      </c>
      <c r="H6" s="45" t="s">
        <v>33</v>
      </c>
      <c r="I6" s="45" t="s">
        <v>34</v>
      </c>
      <c r="J6" s="46" t="s">
        <v>42</v>
      </c>
    </row>
    <row r="7" spans="1:10" ht="12.75">
      <c r="A7" s="1">
        <v>1</v>
      </c>
      <c r="B7" s="7" t="s">
        <v>17</v>
      </c>
      <c r="C7" s="13">
        <v>1.64</v>
      </c>
      <c r="D7" s="7" t="s">
        <v>76</v>
      </c>
      <c r="E7" s="21">
        <v>24000</v>
      </c>
      <c r="F7" s="22"/>
      <c r="G7" s="22"/>
      <c r="H7" s="22"/>
      <c r="I7" s="22"/>
      <c r="J7" s="35">
        <f aca="true" t="shared" si="0" ref="J7:J20">SUM(E7:I7)*C7</f>
        <v>39360</v>
      </c>
    </row>
    <row r="8" spans="1:10" ht="12.75">
      <c r="A8" s="1">
        <v>2</v>
      </c>
      <c r="B8" s="7" t="s">
        <v>18</v>
      </c>
      <c r="C8" s="13">
        <v>1.64</v>
      </c>
      <c r="D8" s="7" t="s">
        <v>76</v>
      </c>
      <c r="E8" s="21">
        <v>16500</v>
      </c>
      <c r="F8" s="22"/>
      <c r="G8" s="22"/>
      <c r="H8" s="22"/>
      <c r="I8" s="22"/>
      <c r="J8" s="36">
        <f t="shared" si="0"/>
        <v>27060</v>
      </c>
    </row>
    <row r="9" spans="1:10" ht="12.75">
      <c r="A9" s="1">
        <v>3</v>
      </c>
      <c r="B9" s="7" t="s">
        <v>19</v>
      </c>
      <c r="C9" s="13">
        <v>14.5</v>
      </c>
      <c r="D9" s="7" t="s">
        <v>23</v>
      </c>
      <c r="E9" s="21"/>
      <c r="F9" s="22"/>
      <c r="G9" s="22">
        <v>1050</v>
      </c>
      <c r="H9" s="22">
        <v>5950</v>
      </c>
      <c r="I9" s="22"/>
      <c r="J9" s="36">
        <f t="shared" si="0"/>
        <v>101500</v>
      </c>
    </row>
    <row r="10" spans="1:10" ht="12.75">
      <c r="A10" s="9">
        <v>4</v>
      </c>
      <c r="B10" s="7" t="s">
        <v>20</v>
      </c>
      <c r="C10" s="13">
        <v>11400</v>
      </c>
      <c r="D10" s="7" t="s">
        <v>5</v>
      </c>
      <c r="E10" s="21"/>
      <c r="F10" s="22">
        <v>1</v>
      </c>
      <c r="G10" s="22"/>
      <c r="H10" s="22"/>
      <c r="I10" s="22"/>
      <c r="J10" s="36">
        <f t="shared" si="0"/>
        <v>11400</v>
      </c>
    </row>
    <row r="11" spans="1:10" ht="12.75">
      <c r="A11" s="1">
        <v>5</v>
      </c>
      <c r="B11" s="7" t="s">
        <v>21</v>
      </c>
      <c r="C11" s="13">
        <v>8000</v>
      </c>
      <c r="D11" s="7" t="s">
        <v>6</v>
      </c>
      <c r="E11" s="21">
        <v>5</v>
      </c>
      <c r="F11" s="22"/>
      <c r="G11" s="22"/>
      <c r="H11" s="22"/>
      <c r="I11" s="22"/>
      <c r="J11" s="36">
        <f t="shared" si="0"/>
        <v>40000</v>
      </c>
    </row>
    <row r="12" spans="1:10" ht="12.75">
      <c r="A12" s="9">
        <v>6</v>
      </c>
      <c r="B12" s="7" t="s">
        <v>24</v>
      </c>
      <c r="C12" s="13">
        <v>180000</v>
      </c>
      <c r="D12" s="7" t="s">
        <v>6</v>
      </c>
      <c r="E12" s="21">
        <v>1</v>
      </c>
      <c r="F12" s="22"/>
      <c r="G12" s="22"/>
      <c r="H12" s="22"/>
      <c r="I12" s="22">
        <v>1</v>
      </c>
      <c r="J12" s="36">
        <f t="shared" si="0"/>
        <v>360000</v>
      </c>
    </row>
    <row r="13" spans="1:10" ht="12.75">
      <c r="A13" s="10">
        <v>7</v>
      </c>
      <c r="B13" s="7" t="s">
        <v>25</v>
      </c>
      <c r="C13" s="13">
        <v>220000</v>
      </c>
      <c r="D13" s="7" t="s">
        <v>6</v>
      </c>
      <c r="E13" s="21"/>
      <c r="F13" s="22"/>
      <c r="G13" s="22">
        <v>1</v>
      </c>
      <c r="H13" s="22"/>
      <c r="I13" s="22"/>
      <c r="J13" s="36">
        <f t="shared" si="0"/>
        <v>220000</v>
      </c>
    </row>
    <row r="14" spans="1:10" ht="12.75">
      <c r="A14" s="1">
        <v>8</v>
      </c>
      <c r="B14" s="7" t="s">
        <v>22</v>
      </c>
      <c r="C14" s="13">
        <v>18000</v>
      </c>
      <c r="D14" s="7" t="s">
        <v>6</v>
      </c>
      <c r="E14" s="62"/>
      <c r="F14" s="22"/>
      <c r="G14" s="22"/>
      <c r="H14" s="22"/>
      <c r="I14" s="22"/>
      <c r="J14" s="36">
        <f t="shared" si="0"/>
        <v>0</v>
      </c>
    </row>
    <row r="15" spans="1:10" ht="12.75">
      <c r="A15" s="1">
        <v>9</v>
      </c>
      <c r="B15" s="7" t="s">
        <v>40</v>
      </c>
      <c r="C15" s="13">
        <v>42000</v>
      </c>
      <c r="D15" s="7" t="s">
        <v>6</v>
      </c>
      <c r="E15" s="21"/>
      <c r="F15" s="22"/>
      <c r="G15" s="22">
        <v>7</v>
      </c>
      <c r="H15" s="22"/>
      <c r="I15" s="22"/>
      <c r="J15" s="36">
        <f t="shared" si="0"/>
        <v>294000</v>
      </c>
    </row>
    <row r="16" spans="1:10" ht="12.75">
      <c r="A16" s="1">
        <v>10</v>
      </c>
      <c r="B16" s="7" t="s">
        <v>27</v>
      </c>
      <c r="C16" s="13">
        <v>50000</v>
      </c>
      <c r="D16" s="7" t="s">
        <v>6</v>
      </c>
      <c r="E16" s="21"/>
      <c r="F16" s="22"/>
      <c r="G16" s="22"/>
      <c r="H16" s="22">
        <v>30</v>
      </c>
      <c r="I16" s="22"/>
      <c r="J16" s="36">
        <f t="shared" si="0"/>
        <v>1500000</v>
      </c>
    </row>
    <row r="17" spans="1:10" ht="12.75">
      <c r="A17" s="9">
        <v>11</v>
      </c>
      <c r="B17" s="7" t="s">
        <v>26</v>
      </c>
      <c r="C17" s="13">
        <v>115000</v>
      </c>
      <c r="D17" s="7" t="s">
        <v>5</v>
      </c>
      <c r="E17" s="21">
        <v>1</v>
      </c>
      <c r="F17" s="22"/>
      <c r="G17" s="22"/>
      <c r="H17" s="22"/>
      <c r="I17" s="22"/>
      <c r="J17" s="36">
        <f t="shared" si="0"/>
        <v>115000</v>
      </c>
    </row>
    <row r="18" spans="1:233" ht="12.75">
      <c r="A18" s="10">
        <v>12</v>
      </c>
      <c r="B18" s="7" t="s">
        <v>36</v>
      </c>
      <c r="C18" s="13">
        <v>2.04</v>
      </c>
      <c r="D18" s="7" t="s">
        <v>75</v>
      </c>
      <c r="E18" s="21"/>
      <c r="F18" s="22"/>
      <c r="G18" s="22"/>
      <c r="H18" s="22"/>
      <c r="I18" s="22">
        <v>85000</v>
      </c>
      <c r="J18" s="36">
        <f t="shared" si="0"/>
        <v>173400</v>
      </c>
      <c r="K18" s="4"/>
      <c r="L18" s="6"/>
      <c r="M18" s="4"/>
      <c r="N18" s="10"/>
      <c r="O18" s="7"/>
      <c r="P18" s="7"/>
      <c r="Q18" s="14"/>
      <c r="R18" s="13"/>
      <c r="S18" s="4"/>
      <c r="T18" s="6"/>
      <c r="U18" s="4"/>
      <c r="V18" s="10"/>
      <c r="W18" s="7"/>
      <c r="X18" s="7"/>
      <c r="Y18" s="14"/>
      <c r="Z18" s="13"/>
      <c r="AA18" s="4"/>
      <c r="AB18" s="6"/>
      <c r="AC18" s="4"/>
      <c r="AD18" s="10"/>
      <c r="AE18" s="7"/>
      <c r="AF18" s="7"/>
      <c r="AG18" s="14"/>
      <c r="AH18" s="13"/>
      <c r="AI18" s="4"/>
      <c r="AJ18" s="6"/>
      <c r="AK18" s="4"/>
      <c r="AL18" s="10"/>
      <c r="AM18" s="7"/>
      <c r="AN18" s="7"/>
      <c r="AO18" s="14"/>
      <c r="AP18" s="13"/>
      <c r="AQ18" s="4"/>
      <c r="AR18" s="6"/>
      <c r="AS18" s="4"/>
      <c r="AT18" s="10"/>
      <c r="AU18" s="7"/>
      <c r="AV18" s="7"/>
      <c r="AW18" s="14"/>
      <c r="AX18" s="13"/>
      <c r="AY18" s="4"/>
      <c r="AZ18" s="6"/>
      <c r="BA18" s="4"/>
      <c r="BB18" s="10"/>
      <c r="BC18" s="7"/>
      <c r="BD18" s="7"/>
      <c r="BE18" s="14"/>
      <c r="BF18" s="13"/>
      <c r="BG18" s="4"/>
      <c r="BH18" s="6"/>
      <c r="BI18" s="4"/>
      <c r="BJ18" s="10"/>
      <c r="BK18" s="7"/>
      <c r="BL18" s="7"/>
      <c r="BM18" s="14"/>
      <c r="BN18" s="13"/>
      <c r="BO18" s="4"/>
      <c r="BP18" s="6"/>
      <c r="BQ18" s="4"/>
      <c r="BR18" s="10"/>
      <c r="BS18" s="7"/>
      <c r="BT18" s="7"/>
      <c r="BU18" s="14"/>
      <c r="BV18" s="13"/>
      <c r="BW18" s="4"/>
      <c r="BX18" s="6"/>
      <c r="BY18" s="4"/>
      <c r="BZ18" s="10"/>
      <c r="CA18" s="7"/>
      <c r="CB18" s="7"/>
      <c r="CC18" s="14"/>
      <c r="CD18" s="13"/>
      <c r="CE18" s="4"/>
      <c r="CF18" s="6"/>
      <c r="CG18" s="4"/>
      <c r="CH18" s="10"/>
      <c r="CI18" s="7"/>
      <c r="CJ18" s="7"/>
      <c r="CK18" s="14"/>
      <c r="CL18" s="13"/>
      <c r="CM18" s="4"/>
      <c r="CN18" s="6"/>
      <c r="CO18" s="4"/>
      <c r="CP18" s="10"/>
      <c r="CQ18" s="7"/>
      <c r="CR18" s="7"/>
      <c r="CS18" s="14"/>
      <c r="CT18" s="13"/>
      <c r="CU18" s="4"/>
      <c r="CV18" s="6"/>
      <c r="CW18" s="4"/>
      <c r="CX18" s="10"/>
      <c r="CY18" s="7"/>
      <c r="CZ18" s="7"/>
      <c r="DA18" s="14"/>
      <c r="DB18" s="13"/>
      <c r="DC18" s="4"/>
      <c r="DD18" s="6"/>
      <c r="DE18" s="4"/>
      <c r="DF18" s="10"/>
      <c r="DG18" s="7"/>
      <c r="DH18" s="7"/>
      <c r="DI18" s="14"/>
      <c r="DJ18" s="13"/>
      <c r="DK18" s="4"/>
      <c r="DL18" s="6"/>
      <c r="DM18" s="4"/>
      <c r="DN18" s="10"/>
      <c r="DO18" s="7"/>
      <c r="DP18" s="7"/>
      <c r="DQ18" s="14"/>
      <c r="DR18" s="13"/>
      <c r="DS18" s="4"/>
      <c r="DT18" s="6"/>
      <c r="DU18" s="4"/>
      <c r="DV18" s="10"/>
      <c r="DW18" s="7"/>
      <c r="DX18" s="7"/>
      <c r="DY18" s="14"/>
      <c r="DZ18" s="13"/>
      <c r="EA18" s="4"/>
      <c r="EB18" s="6"/>
      <c r="EC18" s="4"/>
      <c r="ED18" s="10"/>
      <c r="EE18" s="7"/>
      <c r="EF18" s="7"/>
      <c r="EG18" s="14"/>
      <c r="EH18" s="13"/>
      <c r="EI18" s="4"/>
      <c r="EJ18" s="6"/>
      <c r="EK18" s="4"/>
      <c r="EL18" s="10"/>
      <c r="EM18" s="7"/>
      <c r="EN18" s="7"/>
      <c r="EO18" s="14"/>
      <c r="EP18" s="13"/>
      <c r="EQ18" s="4"/>
      <c r="ER18" s="6"/>
      <c r="ES18" s="4"/>
      <c r="ET18" s="10"/>
      <c r="EU18" s="7"/>
      <c r="EV18" s="7"/>
      <c r="EW18" s="14"/>
      <c r="EX18" s="13"/>
      <c r="EY18" s="4"/>
      <c r="EZ18" s="6"/>
      <c r="FA18" s="4"/>
      <c r="FB18" s="10"/>
      <c r="FC18" s="7"/>
      <c r="FD18" s="7"/>
      <c r="FE18" s="14"/>
      <c r="FF18" s="13"/>
      <c r="FG18" s="4"/>
      <c r="FH18" s="6"/>
      <c r="FI18" s="4"/>
      <c r="FJ18" s="10"/>
      <c r="FK18" s="7"/>
      <c r="FL18" s="7"/>
      <c r="FM18" s="14"/>
      <c r="FN18" s="13"/>
      <c r="FO18" s="4"/>
      <c r="FP18" s="6"/>
      <c r="FQ18" s="4"/>
      <c r="FR18" s="10"/>
      <c r="FS18" s="7"/>
      <c r="FT18" s="7"/>
      <c r="FU18" s="14"/>
      <c r="FV18" s="13"/>
      <c r="FW18" s="4"/>
      <c r="FX18" s="6"/>
      <c r="FY18" s="4"/>
      <c r="FZ18" s="10"/>
      <c r="GA18" s="7"/>
      <c r="GB18" s="7"/>
      <c r="GC18" s="14"/>
      <c r="GD18" s="13"/>
      <c r="GE18" s="4"/>
      <c r="GF18" s="6"/>
      <c r="GG18" s="4"/>
      <c r="GH18" s="10"/>
      <c r="GI18" s="7"/>
      <c r="GJ18" s="7"/>
      <c r="GK18" s="14"/>
      <c r="GL18" s="13"/>
      <c r="GM18" s="4"/>
      <c r="GN18" s="6"/>
      <c r="GO18" s="4"/>
      <c r="GP18" s="10"/>
      <c r="GQ18" s="7"/>
      <c r="GR18" s="7"/>
      <c r="GS18" s="14"/>
      <c r="GT18" s="13"/>
      <c r="GU18" s="4"/>
      <c r="GV18" s="6"/>
      <c r="GW18" s="4"/>
      <c r="GX18" s="10"/>
      <c r="GY18" s="7"/>
      <c r="GZ18" s="7"/>
      <c r="HA18" s="14"/>
      <c r="HB18" s="13"/>
      <c r="HC18" s="4"/>
      <c r="HD18" s="6"/>
      <c r="HE18" s="4"/>
      <c r="HF18" s="10"/>
      <c r="HG18" s="7"/>
      <c r="HH18" s="7"/>
      <c r="HI18" s="14"/>
      <c r="HJ18" s="13"/>
      <c r="HK18" s="4"/>
      <c r="HL18" s="6"/>
      <c r="HM18" s="4"/>
      <c r="HN18" s="10"/>
      <c r="HO18" s="7"/>
      <c r="HP18" s="7"/>
      <c r="HQ18" s="14"/>
      <c r="HR18" s="13"/>
      <c r="HS18" s="4"/>
      <c r="HT18" s="6"/>
      <c r="HU18" s="4"/>
      <c r="HV18" s="10"/>
      <c r="HW18" s="7"/>
      <c r="HX18" s="7"/>
      <c r="HY18" s="14"/>
    </row>
    <row r="19" spans="1:233" ht="12.75">
      <c r="A19" s="10">
        <v>13</v>
      </c>
      <c r="B19" s="7" t="s">
        <v>39</v>
      </c>
      <c r="C19" s="13">
        <v>25</v>
      </c>
      <c r="D19" s="7" t="s">
        <v>77</v>
      </c>
      <c r="E19" s="21">
        <v>5500</v>
      </c>
      <c r="F19" s="22"/>
      <c r="G19" s="22"/>
      <c r="H19" s="22"/>
      <c r="I19" s="22"/>
      <c r="J19" s="36">
        <f t="shared" si="0"/>
        <v>137500</v>
      </c>
      <c r="K19" s="4"/>
      <c r="L19" s="6"/>
      <c r="M19" s="4"/>
      <c r="N19" s="10"/>
      <c r="O19" s="7"/>
      <c r="P19" s="7"/>
      <c r="Q19" s="14"/>
      <c r="R19" s="13"/>
      <c r="S19" s="4"/>
      <c r="T19" s="6"/>
      <c r="U19" s="4"/>
      <c r="V19" s="10"/>
      <c r="W19" s="7"/>
      <c r="X19" s="7"/>
      <c r="Y19" s="14"/>
      <c r="Z19" s="13"/>
      <c r="AA19" s="4"/>
      <c r="AB19" s="6"/>
      <c r="AC19" s="4"/>
      <c r="AD19" s="10"/>
      <c r="AE19" s="7"/>
      <c r="AF19" s="7"/>
      <c r="AG19" s="14"/>
      <c r="AH19" s="13"/>
      <c r="AI19" s="4"/>
      <c r="AJ19" s="6"/>
      <c r="AK19" s="4"/>
      <c r="AL19" s="10"/>
      <c r="AM19" s="7"/>
      <c r="AN19" s="7"/>
      <c r="AO19" s="14"/>
      <c r="AP19" s="13"/>
      <c r="AQ19" s="4"/>
      <c r="AR19" s="6"/>
      <c r="AS19" s="4"/>
      <c r="AT19" s="10"/>
      <c r="AU19" s="7"/>
      <c r="AV19" s="7"/>
      <c r="AW19" s="14"/>
      <c r="AX19" s="13"/>
      <c r="AY19" s="4"/>
      <c r="AZ19" s="6"/>
      <c r="BA19" s="4"/>
      <c r="BB19" s="10"/>
      <c r="BC19" s="7"/>
      <c r="BD19" s="7"/>
      <c r="BE19" s="14"/>
      <c r="BF19" s="13"/>
      <c r="BG19" s="4"/>
      <c r="BH19" s="6"/>
      <c r="BI19" s="4"/>
      <c r="BJ19" s="10"/>
      <c r="BK19" s="7"/>
      <c r="BL19" s="7"/>
      <c r="BM19" s="14"/>
      <c r="BN19" s="13"/>
      <c r="BO19" s="4"/>
      <c r="BP19" s="6"/>
      <c r="BQ19" s="4"/>
      <c r="BR19" s="10"/>
      <c r="BS19" s="7"/>
      <c r="BT19" s="7"/>
      <c r="BU19" s="14"/>
      <c r="BV19" s="13"/>
      <c r="BW19" s="4"/>
      <c r="BX19" s="6"/>
      <c r="BY19" s="4"/>
      <c r="BZ19" s="10"/>
      <c r="CA19" s="7"/>
      <c r="CB19" s="7"/>
      <c r="CC19" s="14"/>
      <c r="CD19" s="13"/>
      <c r="CE19" s="4"/>
      <c r="CF19" s="6"/>
      <c r="CG19" s="4"/>
      <c r="CH19" s="10"/>
      <c r="CI19" s="7"/>
      <c r="CJ19" s="7"/>
      <c r="CK19" s="14"/>
      <c r="CL19" s="13"/>
      <c r="CM19" s="4"/>
      <c r="CN19" s="6"/>
      <c r="CO19" s="4"/>
      <c r="CP19" s="10"/>
      <c r="CQ19" s="7"/>
      <c r="CR19" s="7"/>
      <c r="CS19" s="14"/>
      <c r="CT19" s="13"/>
      <c r="CU19" s="4"/>
      <c r="CV19" s="6"/>
      <c r="CW19" s="4"/>
      <c r="CX19" s="10"/>
      <c r="CY19" s="7"/>
      <c r="CZ19" s="7"/>
      <c r="DA19" s="14"/>
      <c r="DB19" s="13"/>
      <c r="DC19" s="4"/>
      <c r="DD19" s="6"/>
      <c r="DE19" s="4"/>
      <c r="DF19" s="10"/>
      <c r="DG19" s="7"/>
      <c r="DH19" s="7"/>
      <c r="DI19" s="14"/>
      <c r="DJ19" s="13"/>
      <c r="DK19" s="4"/>
      <c r="DL19" s="6"/>
      <c r="DM19" s="4"/>
      <c r="DN19" s="10"/>
      <c r="DO19" s="7"/>
      <c r="DP19" s="7"/>
      <c r="DQ19" s="14"/>
      <c r="DR19" s="13"/>
      <c r="DS19" s="4"/>
      <c r="DT19" s="6"/>
      <c r="DU19" s="4"/>
      <c r="DV19" s="10"/>
      <c r="DW19" s="7"/>
      <c r="DX19" s="7"/>
      <c r="DY19" s="14"/>
      <c r="DZ19" s="13"/>
      <c r="EA19" s="4"/>
      <c r="EB19" s="6"/>
      <c r="EC19" s="4"/>
      <c r="ED19" s="10"/>
      <c r="EE19" s="7"/>
      <c r="EF19" s="7"/>
      <c r="EG19" s="14"/>
      <c r="EH19" s="13"/>
      <c r="EI19" s="4"/>
      <c r="EJ19" s="6"/>
      <c r="EK19" s="4"/>
      <c r="EL19" s="10"/>
      <c r="EM19" s="7"/>
      <c r="EN19" s="7"/>
      <c r="EO19" s="14"/>
      <c r="EP19" s="13"/>
      <c r="EQ19" s="4"/>
      <c r="ER19" s="6"/>
      <c r="ES19" s="4"/>
      <c r="ET19" s="10"/>
      <c r="EU19" s="7"/>
      <c r="EV19" s="7"/>
      <c r="EW19" s="14"/>
      <c r="EX19" s="13"/>
      <c r="EY19" s="4"/>
      <c r="EZ19" s="6"/>
      <c r="FA19" s="4"/>
      <c r="FB19" s="10"/>
      <c r="FC19" s="7"/>
      <c r="FD19" s="7"/>
      <c r="FE19" s="14"/>
      <c r="FF19" s="13"/>
      <c r="FG19" s="4"/>
      <c r="FH19" s="6"/>
      <c r="FI19" s="4"/>
      <c r="FJ19" s="10"/>
      <c r="FK19" s="7"/>
      <c r="FL19" s="7"/>
      <c r="FM19" s="14"/>
      <c r="FN19" s="13"/>
      <c r="FO19" s="4"/>
      <c r="FP19" s="6"/>
      <c r="FQ19" s="4"/>
      <c r="FR19" s="10"/>
      <c r="FS19" s="7"/>
      <c r="FT19" s="7"/>
      <c r="FU19" s="14"/>
      <c r="FV19" s="13"/>
      <c r="FW19" s="4"/>
      <c r="FX19" s="6"/>
      <c r="FY19" s="4"/>
      <c r="FZ19" s="10"/>
      <c r="GA19" s="7"/>
      <c r="GB19" s="7"/>
      <c r="GC19" s="14"/>
      <c r="GD19" s="13"/>
      <c r="GE19" s="4"/>
      <c r="GF19" s="6"/>
      <c r="GG19" s="4"/>
      <c r="GH19" s="10"/>
      <c r="GI19" s="7"/>
      <c r="GJ19" s="7"/>
      <c r="GK19" s="14"/>
      <c r="GL19" s="13"/>
      <c r="GM19" s="4"/>
      <c r="GN19" s="6"/>
      <c r="GO19" s="4"/>
      <c r="GP19" s="10"/>
      <c r="GQ19" s="7"/>
      <c r="GR19" s="7"/>
      <c r="GS19" s="14"/>
      <c r="GT19" s="13"/>
      <c r="GU19" s="4"/>
      <c r="GV19" s="6"/>
      <c r="GW19" s="4"/>
      <c r="GX19" s="10"/>
      <c r="GY19" s="7"/>
      <c r="GZ19" s="7"/>
      <c r="HA19" s="14"/>
      <c r="HB19" s="13"/>
      <c r="HC19" s="4"/>
      <c r="HD19" s="6"/>
      <c r="HE19" s="4"/>
      <c r="HF19" s="10"/>
      <c r="HG19" s="7"/>
      <c r="HH19" s="7"/>
      <c r="HI19" s="14"/>
      <c r="HJ19" s="13"/>
      <c r="HK19" s="4"/>
      <c r="HL19" s="6"/>
      <c r="HM19" s="4"/>
      <c r="HN19" s="10"/>
      <c r="HO19" s="7"/>
      <c r="HP19" s="7"/>
      <c r="HQ19" s="14"/>
      <c r="HR19" s="13"/>
      <c r="HS19" s="4"/>
      <c r="HT19" s="6"/>
      <c r="HU19" s="4"/>
      <c r="HV19" s="10"/>
      <c r="HW19" s="7"/>
      <c r="HX19" s="7"/>
      <c r="HY19" s="14"/>
    </row>
    <row r="20" spans="1:10" ht="12.75">
      <c r="A20" s="9"/>
      <c r="B20" s="7"/>
      <c r="C20" s="4"/>
      <c r="D20" s="7"/>
      <c r="E20" s="1"/>
      <c r="F20" s="8"/>
      <c r="G20" s="8"/>
      <c r="H20" s="8"/>
      <c r="I20" s="8"/>
      <c r="J20" s="36">
        <f t="shared" si="0"/>
        <v>0</v>
      </c>
    </row>
    <row r="21" spans="1:10" ht="12.75">
      <c r="A21" s="9"/>
      <c r="B21" s="7"/>
      <c r="C21" s="19" t="s">
        <v>7</v>
      </c>
      <c r="D21" s="7"/>
      <c r="E21" s="59">
        <f>SUMPRODUCT($C$7:$C$19,E7:E19)</f>
        <v>538920</v>
      </c>
      <c r="F21" s="59">
        <f>SUMPRODUCT($C$7:$C$19,F7:F19)</f>
        <v>11400</v>
      </c>
      <c r="G21" s="59">
        <f>SUMPRODUCT($C$7:$C$19,G7:G19)</f>
        <v>529225</v>
      </c>
      <c r="H21" s="59">
        <f>SUMPRODUCT($C$7:$C$19,H7:H19)</f>
        <v>1586275</v>
      </c>
      <c r="I21" s="59">
        <f>SUMPRODUCT($C$7:$C$19,I7:I19)</f>
        <v>353400</v>
      </c>
      <c r="J21" s="59">
        <f aca="true" t="shared" si="1" ref="J21:J28">SUM(E21:I21)</f>
        <v>3019220</v>
      </c>
    </row>
    <row r="22" spans="1:10" ht="12.75">
      <c r="A22" s="9"/>
      <c r="C22" s="54" t="s">
        <v>11</v>
      </c>
      <c r="D22" s="11">
        <v>0.05</v>
      </c>
      <c r="E22" s="36">
        <f>$D$22*E21</f>
        <v>26946</v>
      </c>
      <c r="F22" s="36">
        <f>$D$22*F21</f>
        <v>570</v>
      </c>
      <c r="G22" s="36">
        <f>$D$22*G21</f>
        <v>26461.25</v>
      </c>
      <c r="H22" s="36">
        <f>$D$22*H21</f>
        <v>79313.75</v>
      </c>
      <c r="I22" s="36">
        <f>$D$22*I21</f>
        <v>17670</v>
      </c>
      <c r="J22" s="36">
        <f t="shared" si="1"/>
        <v>150961</v>
      </c>
    </row>
    <row r="23" spans="1:10" ht="12.75">
      <c r="A23" s="9"/>
      <c r="C23" s="54" t="s">
        <v>12</v>
      </c>
      <c r="D23" s="11">
        <v>0.1</v>
      </c>
      <c r="E23" s="36">
        <f>E21*$D$23</f>
        <v>53892</v>
      </c>
      <c r="F23" s="36">
        <f>F21*$D$23</f>
        <v>1140</v>
      </c>
      <c r="G23" s="36">
        <f>G21*$D$23</f>
        <v>52922.5</v>
      </c>
      <c r="H23" s="36">
        <f>H21*$D$23</f>
        <v>158627.5</v>
      </c>
      <c r="I23" s="36">
        <f>I21*$D$23</f>
        <v>35340</v>
      </c>
      <c r="J23" s="36">
        <f t="shared" si="1"/>
        <v>301922</v>
      </c>
    </row>
    <row r="24" spans="1:10" ht="12.75">
      <c r="A24" s="9"/>
      <c r="B24" s="54"/>
      <c r="C24" s="18" t="s">
        <v>13</v>
      </c>
      <c r="D24" s="11"/>
      <c r="E24" s="59">
        <f>SUM(E21:E23)</f>
        <v>619758</v>
      </c>
      <c r="F24" s="59">
        <f>SUM(F21:F23)</f>
        <v>13110</v>
      </c>
      <c r="G24" s="59">
        <f>SUM(G21:G23)</f>
        <v>608608.75</v>
      </c>
      <c r="H24" s="59">
        <f>SUM(H21:H23)</f>
        <v>1824216.25</v>
      </c>
      <c r="I24" s="59">
        <f>SUM(I21:I23)</f>
        <v>406410</v>
      </c>
      <c r="J24" s="59">
        <f t="shared" si="1"/>
        <v>3472103</v>
      </c>
    </row>
    <row r="25" spans="1:10" ht="12.75">
      <c r="A25" s="9"/>
      <c r="C25" s="54" t="s">
        <v>14</v>
      </c>
      <c r="D25" s="11">
        <v>0.2</v>
      </c>
      <c r="E25" s="36">
        <f>$D$25*E$24</f>
        <v>123951.6</v>
      </c>
      <c r="F25" s="36">
        <f>$D$25*F$24</f>
        <v>2622</v>
      </c>
      <c r="G25" s="36">
        <f>$D$25*G$24</f>
        <v>121721.75</v>
      </c>
      <c r="H25" s="36">
        <f>$D$25*H$24</f>
        <v>364843.25</v>
      </c>
      <c r="I25" s="36">
        <f>$D$25*I$24</f>
        <v>81282</v>
      </c>
      <c r="J25" s="36">
        <f t="shared" si="1"/>
        <v>694420.6</v>
      </c>
    </row>
    <row r="26" spans="1:10" ht="12.75">
      <c r="A26" s="1"/>
      <c r="B26" s="55"/>
      <c r="C26" s="19" t="s">
        <v>15</v>
      </c>
      <c r="D26" s="1"/>
      <c r="E26" s="59">
        <f>ROUND(SUM(E24:E25),-2)</f>
        <v>743700</v>
      </c>
      <c r="F26" s="59">
        <f>ROUND(SUM(F24:F25),-2)</f>
        <v>15700</v>
      </c>
      <c r="G26" s="59">
        <f>ROUND(SUM(G24:G25),-2)</f>
        <v>730300</v>
      </c>
      <c r="H26" s="59">
        <f>ROUND(SUM(H24:H25),-2)</f>
        <v>2189100</v>
      </c>
      <c r="I26" s="59">
        <f>ROUND(SUM(I24:I25),-2)</f>
        <v>487700</v>
      </c>
      <c r="J26" s="59">
        <f t="shared" si="1"/>
        <v>4166500</v>
      </c>
    </row>
    <row r="27" spans="1:10" ht="12.75">
      <c r="A27" s="1"/>
      <c r="C27" s="54" t="s">
        <v>30</v>
      </c>
      <c r="D27" s="11">
        <v>0.06</v>
      </c>
      <c r="E27" s="36">
        <f>$D$27*E$26</f>
        <v>44622</v>
      </c>
      <c r="F27" s="36">
        <f>$D$27*F$26</f>
        <v>942</v>
      </c>
      <c r="G27" s="36">
        <f>$D$27*G$26</f>
        <v>43818</v>
      </c>
      <c r="H27" s="36">
        <f>$D$27*H$26</f>
        <v>131346</v>
      </c>
      <c r="I27" s="36">
        <f>$D$27*I$26</f>
        <v>29262</v>
      </c>
      <c r="J27" s="36">
        <f t="shared" si="1"/>
        <v>249990</v>
      </c>
    </row>
    <row r="28" spans="1:10" ht="12.75">
      <c r="A28" s="1"/>
      <c r="C28" s="54" t="s">
        <v>31</v>
      </c>
      <c r="D28" s="11">
        <v>0.06</v>
      </c>
      <c r="E28" s="36">
        <f>$D$28*E$26</f>
        <v>44622</v>
      </c>
      <c r="F28" s="36">
        <f>$D$28*F$26</f>
        <v>942</v>
      </c>
      <c r="G28" s="36">
        <f>$D$28*G$26</f>
        <v>43818</v>
      </c>
      <c r="H28" s="36">
        <f>$D$28*H$26</f>
        <v>131346</v>
      </c>
      <c r="I28" s="36">
        <f>$D$28*I$26</f>
        <v>29262</v>
      </c>
      <c r="J28" s="36">
        <f t="shared" si="1"/>
        <v>249990</v>
      </c>
    </row>
    <row r="29" spans="1:10" ht="12.75">
      <c r="A29" s="1"/>
      <c r="B29" s="1"/>
      <c r="C29" s="5"/>
      <c r="D29" s="1"/>
      <c r="E29" s="1"/>
      <c r="F29" s="1"/>
      <c r="G29" s="1"/>
      <c r="H29" s="1"/>
      <c r="I29" s="1"/>
      <c r="J29" s="4"/>
    </row>
    <row r="30" spans="1:10" ht="13.5" thickBot="1">
      <c r="A30" s="1"/>
      <c r="B30" s="1"/>
      <c r="C30" s="19" t="s">
        <v>8</v>
      </c>
      <c r="D30" s="1"/>
      <c r="E30" s="57">
        <f>ROUND(SUM(E26:E29),-3)</f>
        <v>833000</v>
      </c>
      <c r="F30" s="57">
        <f>ROUND(SUM(F26:F29),-3)</f>
        <v>18000</v>
      </c>
      <c r="G30" s="57">
        <f>ROUND(SUM(G26:G29),-3)</f>
        <v>818000</v>
      </c>
      <c r="H30" s="57">
        <f>ROUND(SUM(H26:H29),-3)</f>
        <v>2452000</v>
      </c>
      <c r="I30" s="57">
        <f>ROUND(SUM(I26:I29),-3)</f>
        <v>546000</v>
      </c>
      <c r="J30" s="57">
        <f>SUM(E30:I30)</f>
        <v>4667000</v>
      </c>
    </row>
    <row r="31" spans="1:10" ht="13.5" thickTop="1">
      <c r="A31" s="1"/>
      <c r="B31" s="1"/>
      <c r="C31" s="19"/>
      <c r="D31" s="1"/>
      <c r="E31" s="15"/>
      <c r="F31" s="15"/>
      <c r="G31" s="15"/>
      <c r="H31" s="15"/>
      <c r="I31" s="15"/>
      <c r="J31" s="15"/>
    </row>
    <row r="32" spans="1:10" ht="12.75">
      <c r="A32" s="1"/>
      <c r="B32" s="1"/>
      <c r="C32" s="4"/>
      <c r="D32" s="1"/>
      <c r="E32" s="1"/>
      <c r="J32" s="4"/>
    </row>
    <row r="33" spans="1:10" ht="13.5" thickBot="1">
      <c r="A33" s="26" t="s">
        <v>9</v>
      </c>
      <c r="B33" s="27" t="s">
        <v>57</v>
      </c>
      <c r="C33" s="28"/>
      <c r="D33" s="29"/>
      <c r="E33" s="44" t="str">
        <f aca="true" t="shared" si="2" ref="E33:J33">E6</f>
        <v>BOAT RAMP/PARKING</v>
      </c>
      <c r="F33" s="44" t="str">
        <f t="shared" si="2"/>
        <v>BOAT STORAGE</v>
      </c>
      <c r="G33" s="44" t="str">
        <f t="shared" si="2"/>
        <v>CL. PAVILION</v>
      </c>
      <c r="H33" s="44" t="str">
        <f t="shared" si="2"/>
        <v>PARK CABINS</v>
      </c>
      <c r="I33" s="44" t="str">
        <f t="shared" si="2"/>
        <v>BEACH AREA</v>
      </c>
      <c r="J33" s="44" t="str">
        <f t="shared" si="2"/>
        <v>TOTAL</v>
      </c>
    </row>
    <row r="34" spans="1:10" ht="12.75">
      <c r="A34" s="16"/>
      <c r="B34" s="25" t="s">
        <v>62</v>
      </c>
      <c r="C34" s="4"/>
      <c r="D34" s="1"/>
      <c r="E34" s="7">
        <v>1</v>
      </c>
      <c r="F34" s="7">
        <v>1</v>
      </c>
      <c r="G34" s="7">
        <v>7</v>
      </c>
      <c r="H34" s="7">
        <v>30</v>
      </c>
      <c r="I34" s="7">
        <v>1</v>
      </c>
      <c r="J34" s="4"/>
    </row>
    <row r="35" spans="1:10" ht="12.75">
      <c r="A35" s="16"/>
      <c r="B35" s="25" t="s">
        <v>63</v>
      </c>
      <c r="C35" s="4"/>
      <c r="D35" s="1"/>
      <c r="E35" s="7">
        <v>180</v>
      </c>
      <c r="F35" s="7">
        <v>180</v>
      </c>
      <c r="G35" s="7">
        <v>180</v>
      </c>
      <c r="H35" s="7">
        <v>180</v>
      </c>
      <c r="I35" s="7">
        <v>180</v>
      </c>
      <c r="J35" s="12"/>
    </row>
    <row r="36" spans="2:10" ht="12.75">
      <c r="B36" s="25" t="s">
        <v>43</v>
      </c>
      <c r="C36" s="8"/>
      <c r="D36" s="8"/>
      <c r="E36" s="8">
        <f>E34*E35*1</f>
        <v>180</v>
      </c>
      <c r="F36" s="8">
        <f>F34*F35*1</f>
        <v>180</v>
      </c>
      <c r="G36" s="8">
        <f>G34*G35*1</f>
        <v>1260</v>
      </c>
      <c r="H36" s="8">
        <f>H34*H35*2.5</f>
        <v>13500</v>
      </c>
      <c r="I36" s="8">
        <f>I34*I35*1</f>
        <v>180</v>
      </c>
      <c r="J36" s="8"/>
    </row>
    <row r="37" spans="2:10" ht="12.75">
      <c r="B37" s="25" t="s">
        <v>44</v>
      </c>
      <c r="C37" s="8"/>
      <c r="D37" s="8"/>
      <c r="E37" s="43">
        <v>15</v>
      </c>
      <c r="F37" s="43">
        <v>15</v>
      </c>
      <c r="G37" s="43">
        <v>15</v>
      </c>
      <c r="H37" s="43">
        <v>11</v>
      </c>
      <c r="I37" s="43">
        <v>15</v>
      </c>
      <c r="J37" s="43"/>
    </row>
    <row r="38" spans="2:10" ht="12.75">
      <c r="B38" s="25" t="s">
        <v>45</v>
      </c>
      <c r="C38" s="8"/>
      <c r="D38" s="8"/>
      <c r="E38" s="37">
        <f>E36*E37</f>
        <v>2700</v>
      </c>
      <c r="F38" s="37">
        <f>F36*F37</f>
        <v>2700</v>
      </c>
      <c r="G38" s="37">
        <f>G36*G37</f>
        <v>18900</v>
      </c>
      <c r="H38" s="37">
        <f>H36*H37</f>
        <v>148500</v>
      </c>
      <c r="I38" s="37">
        <f>I36*I37</f>
        <v>2700</v>
      </c>
      <c r="J38" s="37">
        <f>SUM(E38:I38)</f>
        <v>175500</v>
      </c>
    </row>
    <row r="39" spans="2:10" ht="12.75">
      <c r="B39" s="25" t="s">
        <v>46</v>
      </c>
      <c r="C39" s="8"/>
      <c r="D39" s="33">
        <v>0.075</v>
      </c>
      <c r="E39" s="38">
        <f>ROUND(E38*$D$39,-2)</f>
        <v>200</v>
      </c>
      <c r="F39" s="38">
        <f>ROUND(F38*$D$39,-2)</f>
        <v>200</v>
      </c>
      <c r="G39" s="38">
        <f>ROUND(G38*$D$39,-2)</f>
        <v>1400</v>
      </c>
      <c r="H39" s="38">
        <f>ROUND(H38*$D$39,-2)</f>
        <v>11100</v>
      </c>
      <c r="I39" s="38">
        <f>ROUND(I38*$D$39,-2)</f>
        <v>200</v>
      </c>
      <c r="J39" s="38">
        <f>SUM(D39:I39)</f>
        <v>13100.075</v>
      </c>
    </row>
    <row r="40" spans="2:10" ht="12.75">
      <c r="B40" s="25" t="s">
        <v>47</v>
      </c>
      <c r="C40" s="8"/>
      <c r="D40" s="8"/>
      <c r="E40" s="42">
        <f>SUM(E38:E39)</f>
        <v>2900</v>
      </c>
      <c r="F40" s="42">
        <f>SUM(F38:F39)</f>
        <v>2900</v>
      </c>
      <c r="G40" s="42">
        <f>SUM(G38:G39)</f>
        <v>20300</v>
      </c>
      <c r="H40" s="42">
        <f>SUM(H38:H39)</f>
        <v>159600</v>
      </c>
      <c r="I40" s="42">
        <f>SUM(I38:I39)</f>
        <v>2900</v>
      </c>
      <c r="J40" s="42">
        <f aca="true" t="shared" si="3" ref="J40:J46">SUM(E40:I40)</f>
        <v>188600</v>
      </c>
    </row>
    <row r="41" spans="2:10" ht="12.75">
      <c r="B41" s="25" t="s">
        <v>48</v>
      </c>
      <c r="C41" s="8"/>
      <c r="D41" s="8"/>
      <c r="E41" s="39">
        <v>200</v>
      </c>
      <c r="F41" s="39">
        <v>500</v>
      </c>
      <c r="G41" s="39">
        <v>200</v>
      </c>
      <c r="H41" s="40">
        <f>H16*4000</f>
        <v>120000</v>
      </c>
      <c r="I41" s="39">
        <v>200</v>
      </c>
      <c r="J41" s="39">
        <f t="shared" si="3"/>
        <v>121100</v>
      </c>
    </row>
    <row r="42" spans="2:10" ht="12.75">
      <c r="B42" s="25" t="s">
        <v>49</v>
      </c>
      <c r="C42" s="8"/>
      <c r="D42" s="8"/>
      <c r="E42" s="39"/>
      <c r="F42" s="39"/>
      <c r="G42" s="39"/>
      <c r="H42" s="40">
        <f>H16*900</f>
        <v>27000</v>
      </c>
      <c r="I42" s="39"/>
      <c r="J42" s="39">
        <f t="shared" si="3"/>
        <v>27000</v>
      </c>
    </row>
    <row r="43" spans="2:10" ht="12.75">
      <c r="B43" s="25" t="s">
        <v>160</v>
      </c>
      <c r="C43" s="8"/>
      <c r="D43" s="8"/>
      <c r="E43" s="39"/>
      <c r="F43" s="39"/>
      <c r="G43" s="39"/>
      <c r="H43" s="40"/>
      <c r="I43" s="39"/>
      <c r="J43" s="39"/>
    </row>
    <row r="44" spans="2:10" ht="12.75">
      <c r="B44" s="25" t="s">
        <v>50</v>
      </c>
      <c r="C44" s="8"/>
      <c r="D44" s="8"/>
      <c r="E44" s="40"/>
      <c r="F44" s="40"/>
      <c r="G44" s="40"/>
      <c r="H44" s="40">
        <f>H16*350</f>
        <v>10500</v>
      </c>
      <c r="I44" s="40"/>
      <c r="J44" s="39">
        <f t="shared" si="3"/>
        <v>10500</v>
      </c>
    </row>
    <row r="45" spans="2:10" ht="12.75">
      <c r="B45" s="25" t="s">
        <v>61</v>
      </c>
      <c r="C45" s="8"/>
      <c r="D45" s="33">
        <v>0.2</v>
      </c>
      <c r="E45" s="41">
        <f>ROUND(SUM(E40:E44)*$D$45,-2)</f>
        <v>600</v>
      </c>
      <c r="F45" s="41">
        <f>ROUND(SUM(F40:F44)*$D$45,-2)</f>
        <v>700</v>
      </c>
      <c r="G45" s="41">
        <f>ROUND(SUM(G40:G44)*$D$45,-2)</f>
        <v>4100</v>
      </c>
      <c r="H45" s="41">
        <f>ROUND(SUM(H40:H44)*$D$45,-2)</f>
        <v>63400</v>
      </c>
      <c r="I45" s="41">
        <f>ROUND(SUM(I40:I44)*$D$45,-2)</f>
        <v>600</v>
      </c>
      <c r="J45" s="41">
        <f t="shared" si="3"/>
        <v>69400</v>
      </c>
    </row>
    <row r="46" spans="2:10" ht="13.5" thickBot="1">
      <c r="B46" s="34" t="s">
        <v>51</v>
      </c>
      <c r="C46" s="8"/>
      <c r="D46" s="8"/>
      <c r="E46" s="58">
        <f>SUM(E40:E45)</f>
        <v>3700</v>
      </c>
      <c r="F46" s="58">
        <f>SUM(F40:F45)</f>
        <v>4100</v>
      </c>
      <c r="G46" s="58">
        <f>SUM(G40:G45)</f>
        <v>24600</v>
      </c>
      <c r="H46" s="58">
        <f>SUM(H40:H45)</f>
        <v>380500</v>
      </c>
      <c r="I46" s="58">
        <f>SUM(I40:I45)</f>
        <v>3700</v>
      </c>
      <c r="J46" s="58">
        <f t="shared" si="3"/>
        <v>416600</v>
      </c>
    </row>
    <row r="47" spans="2:10" ht="13.5" thickTop="1">
      <c r="B47" s="7"/>
      <c r="C47" s="8"/>
      <c r="D47" s="8"/>
      <c r="E47" s="8"/>
      <c r="F47" s="8"/>
      <c r="G47" s="8"/>
      <c r="H47" s="8"/>
      <c r="I47" s="8"/>
      <c r="J47" s="12"/>
    </row>
    <row r="48" spans="2:10" ht="12.75">
      <c r="B48" s="7"/>
      <c r="C48" s="8"/>
      <c r="D48" s="8"/>
      <c r="E48" s="8"/>
      <c r="F48" s="8"/>
      <c r="G48" s="8"/>
      <c r="H48" s="8"/>
      <c r="I48" s="8"/>
      <c r="J48" s="12"/>
    </row>
    <row r="49" spans="1:10" ht="13.5" thickBot="1">
      <c r="A49" s="26" t="s">
        <v>10</v>
      </c>
      <c r="B49" s="27" t="s">
        <v>58</v>
      </c>
      <c r="C49" s="30"/>
      <c r="D49" s="30"/>
      <c r="E49" s="44" t="str">
        <f aca="true" t="shared" si="4" ref="E49:J49">E33</f>
        <v>BOAT RAMP/PARKING</v>
      </c>
      <c r="F49" s="44" t="str">
        <f t="shared" si="4"/>
        <v>BOAT STORAGE</v>
      </c>
      <c r="G49" s="44" t="str">
        <f t="shared" si="4"/>
        <v>CL. PAVILION</v>
      </c>
      <c r="H49" s="44" t="str">
        <f t="shared" si="4"/>
        <v>PARK CABINS</v>
      </c>
      <c r="I49" s="44" t="str">
        <f t="shared" si="4"/>
        <v>BEACH AREA</v>
      </c>
      <c r="J49" s="47" t="str">
        <f t="shared" si="4"/>
        <v>TOTAL</v>
      </c>
    </row>
    <row r="50" spans="1:10" ht="12.75">
      <c r="A50" s="16"/>
      <c r="B50" s="25" t="s">
        <v>62</v>
      </c>
      <c r="C50" s="7"/>
      <c r="D50" s="7"/>
      <c r="E50" s="7">
        <v>1</v>
      </c>
      <c r="F50" s="7">
        <v>1</v>
      </c>
      <c r="G50" s="7">
        <v>7</v>
      </c>
      <c r="H50" s="7">
        <v>30</v>
      </c>
      <c r="I50" s="7">
        <v>1</v>
      </c>
      <c r="J50" s="12"/>
    </row>
    <row r="51" spans="1:10" ht="12.75">
      <c r="A51" s="16"/>
      <c r="B51" s="25" t="s">
        <v>64</v>
      </c>
      <c r="C51" s="7"/>
      <c r="D51" s="7"/>
      <c r="E51" s="7">
        <v>180</v>
      </c>
      <c r="F51" s="7">
        <v>180</v>
      </c>
      <c r="G51" s="7">
        <v>180</v>
      </c>
      <c r="H51" s="7">
        <v>180</v>
      </c>
      <c r="I51" s="7">
        <v>180</v>
      </c>
      <c r="J51" s="12"/>
    </row>
    <row r="52" spans="2:10" ht="12.75">
      <c r="B52" s="25" t="s">
        <v>65</v>
      </c>
      <c r="C52" s="8"/>
      <c r="D52" s="8"/>
      <c r="E52" s="31">
        <v>7</v>
      </c>
      <c r="F52" s="31">
        <v>2.5</v>
      </c>
      <c r="G52" s="31">
        <v>60</v>
      </c>
      <c r="H52" s="31">
        <v>100</v>
      </c>
      <c r="I52" s="31">
        <v>7</v>
      </c>
      <c r="J52" s="12"/>
    </row>
    <row r="53" spans="2:10" ht="12.75">
      <c r="B53" s="25" t="s">
        <v>66</v>
      </c>
      <c r="C53" s="8"/>
      <c r="D53" s="8"/>
      <c r="E53" s="24">
        <v>30</v>
      </c>
      <c r="F53" s="24">
        <v>30</v>
      </c>
      <c r="G53" s="24">
        <v>1</v>
      </c>
      <c r="H53" s="24">
        <v>1</v>
      </c>
      <c r="I53" s="24">
        <v>10</v>
      </c>
      <c r="J53" s="24"/>
    </row>
    <row r="54" spans="2:10" ht="13.5" thickBot="1">
      <c r="B54" s="34" t="s">
        <v>52</v>
      </c>
      <c r="C54" s="8"/>
      <c r="D54" s="8"/>
      <c r="E54" s="49">
        <f>E50*E51*E52*E53</f>
        <v>37800</v>
      </c>
      <c r="F54" s="49">
        <f>F50*F51*F52*F53</f>
        <v>13500</v>
      </c>
      <c r="G54" s="49">
        <f>G50*G51*G52*G53</f>
        <v>75600</v>
      </c>
      <c r="H54" s="49">
        <f>H50*H51*H52*H53</f>
        <v>540000</v>
      </c>
      <c r="I54" s="49">
        <f>I50*I51*I52*I53</f>
        <v>12600</v>
      </c>
      <c r="J54" s="49">
        <f>SUM(E54:I54)</f>
        <v>679500</v>
      </c>
    </row>
    <row r="55" spans="2:10" ht="13.5" thickTop="1">
      <c r="B55" s="25"/>
      <c r="C55" s="8"/>
      <c r="D55" s="8"/>
      <c r="E55" s="8"/>
      <c r="F55" s="8"/>
      <c r="G55" s="8"/>
      <c r="H55" s="8"/>
      <c r="I55" s="8"/>
      <c r="J55" s="8"/>
    </row>
    <row r="56" spans="2:10" ht="12.75">
      <c r="B56" s="25"/>
      <c r="C56" s="8"/>
      <c r="D56" s="8"/>
      <c r="E56" s="8"/>
      <c r="F56" s="8"/>
      <c r="G56" s="8"/>
      <c r="H56" s="8"/>
      <c r="I56" s="8"/>
      <c r="J56" s="8"/>
    </row>
    <row r="57" spans="1:10" ht="13.5" thickBot="1">
      <c r="A57" s="26" t="s">
        <v>69</v>
      </c>
      <c r="B57" s="27" t="s">
        <v>68</v>
      </c>
      <c r="C57" s="30"/>
      <c r="D57" s="30"/>
      <c r="E57" s="44" t="str">
        <f aca="true" t="shared" si="5" ref="E57:J57">E49</f>
        <v>BOAT RAMP/PARKING</v>
      </c>
      <c r="F57" s="44" t="str">
        <f t="shared" si="5"/>
        <v>BOAT STORAGE</v>
      </c>
      <c r="G57" s="44" t="str">
        <f t="shared" si="5"/>
        <v>CL. PAVILION</v>
      </c>
      <c r="H57" s="44" t="str">
        <f t="shared" si="5"/>
        <v>PARK CABINS</v>
      </c>
      <c r="I57" s="44" t="str">
        <f t="shared" si="5"/>
        <v>BEACH AREA</v>
      </c>
      <c r="J57" s="47" t="str">
        <f t="shared" si="5"/>
        <v>TOTAL</v>
      </c>
    </row>
    <row r="58" spans="2:10" ht="12.75">
      <c r="B58" s="25" t="s">
        <v>53</v>
      </c>
      <c r="C58" s="8"/>
      <c r="D58" s="8"/>
      <c r="E58" s="48">
        <f aca="true" t="shared" si="6" ref="E58:J58">E54-E46</f>
        <v>34100</v>
      </c>
      <c r="F58" s="48">
        <f t="shared" si="6"/>
        <v>9400</v>
      </c>
      <c r="G58" s="48">
        <f t="shared" si="6"/>
        <v>51000</v>
      </c>
      <c r="H58" s="48">
        <f t="shared" si="6"/>
        <v>159500</v>
      </c>
      <c r="I58" s="48">
        <f t="shared" si="6"/>
        <v>8900</v>
      </c>
      <c r="J58" s="48">
        <f t="shared" si="6"/>
        <v>262900</v>
      </c>
    </row>
    <row r="59" spans="2:10" ht="12.75">
      <c r="B59" s="25" t="s">
        <v>54</v>
      </c>
      <c r="C59" s="8"/>
      <c r="D59" s="8"/>
      <c r="E59" s="50">
        <f aca="true" t="shared" si="7" ref="E59:J59">E30</f>
        <v>833000</v>
      </c>
      <c r="F59" s="50">
        <f t="shared" si="7"/>
        <v>18000</v>
      </c>
      <c r="G59" s="50">
        <f t="shared" si="7"/>
        <v>818000</v>
      </c>
      <c r="H59" s="50">
        <f t="shared" si="7"/>
        <v>2452000</v>
      </c>
      <c r="I59" s="50">
        <f t="shared" si="7"/>
        <v>546000</v>
      </c>
      <c r="J59" s="50">
        <f t="shared" si="7"/>
        <v>4667000</v>
      </c>
    </row>
    <row r="60" spans="2:10" ht="12.75">
      <c r="B60" s="25" t="s">
        <v>55</v>
      </c>
      <c r="C60" s="8"/>
      <c r="D60" s="8"/>
      <c r="E60" s="20">
        <f aca="true" t="shared" si="8" ref="E60:J60">IF(ISERROR(E59/E58),0,E59/E58)</f>
        <v>24.428152492668623</v>
      </c>
      <c r="F60" s="20">
        <f t="shared" si="8"/>
        <v>1.9148936170212767</v>
      </c>
      <c r="G60" s="20">
        <f t="shared" si="8"/>
        <v>16.03921568627451</v>
      </c>
      <c r="H60" s="20">
        <f t="shared" si="8"/>
        <v>15.373040752351097</v>
      </c>
      <c r="I60" s="20">
        <f t="shared" si="8"/>
        <v>61.348314606741575</v>
      </c>
      <c r="J60" s="20">
        <f t="shared" si="8"/>
        <v>17.751996957017877</v>
      </c>
    </row>
    <row r="61" spans="2:10" ht="12.75">
      <c r="B61" s="25" t="s">
        <v>80</v>
      </c>
      <c r="C61" s="8"/>
      <c r="D61" s="8"/>
      <c r="E61" s="32">
        <f aca="true" t="shared" si="9" ref="E61:J61">IF(ISERROR(E58/E59),0,E58/E59)</f>
        <v>0.04093637454981993</v>
      </c>
      <c r="F61" s="32">
        <f t="shared" si="9"/>
        <v>0.5222222222222223</v>
      </c>
      <c r="G61" s="32">
        <f t="shared" si="9"/>
        <v>0.06234718826405868</v>
      </c>
      <c r="H61" s="32">
        <f t="shared" si="9"/>
        <v>0.0650489396411093</v>
      </c>
      <c r="I61" s="32">
        <f t="shared" si="9"/>
        <v>0.0163003663003663</v>
      </c>
      <c r="J61" s="32">
        <f t="shared" si="9"/>
        <v>0.056331690593529035</v>
      </c>
    </row>
    <row r="62" spans="2:10" ht="12.75">
      <c r="B62" s="25" t="s">
        <v>81</v>
      </c>
      <c r="C62" s="8"/>
      <c r="D62" s="8"/>
      <c r="E62" s="32">
        <f aca="true" t="shared" si="10" ref="E62:J62">IF(ISERROR(RATE($D$5,E58,-E59)),E61,RATE($D$5,E58,-E59))</f>
        <v>0.013803505071214073</v>
      </c>
      <c r="F62" s="32">
        <f t="shared" si="10"/>
        <v>0.5222222222222223</v>
      </c>
      <c r="G62" s="32">
        <f t="shared" si="10"/>
        <v>0.04631837946833515</v>
      </c>
      <c r="H62" s="32">
        <f t="shared" si="10"/>
        <v>0.04999663472775297</v>
      </c>
      <c r="I62" s="32">
        <f t="shared" si="10"/>
        <v>-0.041086189632262654</v>
      </c>
      <c r="J62" s="32">
        <f t="shared" si="10"/>
        <v>0.037852429987232684</v>
      </c>
    </row>
    <row r="63" spans="2:10" ht="12.75">
      <c r="B63" s="25" t="s">
        <v>79</v>
      </c>
      <c r="C63" s="8"/>
      <c r="D63" s="8"/>
      <c r="E63" s="60">
        <f aca="true" t="shared" si="11" ref="E63:J63">ROUND(PV($D$4,$D$5,-E58)-E59,-3)</f>
        <v>-147000</v>
      </c>
      <c r="F63" s="60">
        <f t="shared" si="11"/>
        <v>171000</v>
      </c>
      <c r="G63" s="60">
        <f t="shared" si="11"/>
        <v>208000</v>
      </c>
      <c r="H63" s="60">
        <f t="shared" si="11"/>
        <v>757000</v>
      </c>
      <c r="I63" s="60">
        <f t="shared" si="11"/>
        <v>-367000</v>
      </c>
      <c r="J63" s="60">
        <f t="shared" si="11"/>
        <v>622000</v>
      </c>
    </row>
    <row r="64" spans="3:10" ht="12.75">
      <c r="C64" s="8"/>
      <c r="D64" s="8"/>
      <c r="E64" s="52"/>
      <c r="F64" s="8"/>
      <c r="G64" s="8"/>
      <c r="H64" s="8"/>
      <c r="I64" s="8"/>
      <c r="J64" s="8"/>
    </row>
    <row r="65" spans="3:10" ht="12.75">
      <c r="C65" s="8"/>
      <c r="D65" s="8"/>
      <c r="E65" s="52"/>
      <c r="F65" s="8"/>
      <c r="G65" s="8"/>
      <c r="H65" s="8"/>
      <c r="I65" s="8"/>
      <c r="J65" s="8"/>
    </row>
    <row r="66" spans="1:10" ht="13.5" thickBot="1">
      <c r="A66" s="26" t="s">
        <v>70</v>
      </c>
      <c r="B66" s="27" t="s">
        <v>60</v>
      </c>
      <c r="C66" s="30"/>
      <c r="D66" s="30"/>
      <c r="E66" s="44" t="str">
        <f aca="true" t="shared" si="12" ref="E66:J66">E57</f>
        <v>BOAT RAMP/PARKING</v>
      </c>
      <c r="F66" s="44" t="str">
        <f t="shared" si="12"/>
        <v>BOAT STORAGE</v>
      </c>
      <c r="G66" s="44" t="str">
        <f t="shared" si="12"/>
        <v>CL. PAVILION</v>
      </c>
      <c r="H66" s="44" t="str">
        <f t="shared" si="12"/>
        <v>PARK CABINS</v>
      </c>
      <c r="I66" s="44" t="str">
        <f t="shared" si="12"/>
        <v>BEACH AREA</v>
      </c>
      <c r="J66" s="47" t="str">
        <f t="shared" si="12"/>
        <v>TOTAL</v>
      </c>
    </row>
    <row r="67" spans="2:10" ht="12.75">
      <c r="B67" s="25" t="s">
        <v>74</v>
      </c>
      <c r="C67" s="8"/>
      <c r="D67" s="8"/>
      <c r="E67" s="48">
        <f aca="true" t="shared" si="13" ref="E67:J67">PMT($D$4,$D$5,-E30)+E46</f>
        <v>45107.72770109357</v>
      </c>
      <c r="F67" s="48">
        <f t="shared" si="13"/>
        <v>4994.76482427333</v>
      </c>
      <c r="G67" s="48">
        <f t="shared" si="13"/>
        <v>65262.09034753247</v>
      </c>
      <c r="H67" s="48">
        <f t="shared" si="13"/>
        <v>502386.85272878926</v>
      </c>
      <c r="I67" s="48">
        <f t="shared" si="13"/>
        <v>30841.199669624362</v>
      </c>
      <c r="J67" s="48">
        <f t="shared" si="13"/>
        <v>648592.635271313</v>
      </c>
    </row>
    <row r="68" spans="2:10" ht="12.75">
      <c r="B68" s="25" t="s">
        <v>73</v>
      </c>
      <c r="E68" s="53">
        <f>IF(ISERROR(E67/(E53*E52*E50)),0,E67/(E53*E52*E50))</f>
        <v>214.79870333854083</v>
      </c>
      <c r="F68" s="53">
        <f>IF(ISERROR(F67/(F53*F52*F50)),0,F67/(F53*F52*F50))</f>
        <v>66.59686432364441</v>
      </c>
      <c r="G68" s="53">
        <f>IF(ISERROR(G67/(G53*G52*G50)),0,G67/(G53*G52*G50))</f>
        <v>155.38592939888682</v>
      </c>
      <c r="H68" s="53">
        <f>IF(ISERROR(H67/(H53*H52*H50)),0,H67/(H53*H52*H50))</f>
        <v>167.46228424292977</v>
      </c>
      <c r="I68" s="53">
        <f>IF(ISERROR(I67/(I53*I52*I50)),0,I67/(I53*I52*I50))</f>
        <v>440.5885667089195</v>
      </c>
      <c r="J68" s="20"/>
    </row>
    <row r="69" spans="2:9" ht="12.75">
      <c r="B69" s="25" t="s">
        <v>71</v>
      </c>
      <c r="E69" s="31">
        <f>IF(ISERROR((E67+E46)/(E50*E51*E53)),0,E67/(E50*E51*E53))</f>
        <v>8.353282907609922</v>
      </c>
      <c r="F69" s="31">
        <f>IF(ISERROR((F67+F46)/(F50*F51*F53)),0,F67/(F50*F51*F53))</f>
        <v>0.9249564489395056</v>
      </c>
      <c r="G69" s="31">
        <f>IF(ISERROR((G67+G46)/(G50*G51*G53)),0,G67/(G50*G51*G53))</f>
        <v>51.79530979962894</v>
      </c>
      <c r="H69" s="31">
        <f>IF(ISERROR((H67+H46)/(H50*H51*H53)),0,H67/(H50*H51*H53))</f>
        <v>93.0346023571832</v>
      </c>
      <c r="I69" s="31">
        <f>IF(ISERROR((I67+I46)/(I50*I51*I53)),0,I67/(I50*I51*I53))</f>
        <v>17.13399981645798</v>
      </c>
    </row>
    <row r="70" spans="2:9" ht="12.75">
      <c r="B70" s="25" t="s">
        <v>72</v>
      </c>
      <c r="E70" s="51">
        <f>IF(ISERROR(E67/(E52*E51*E50)),0,E67/(E52*E51*E50))</f>
        <v>35.7997838897568</v>
      </c>
      <c r="F70" s="51">
        <f>IF(ISERROR(F67/(F52*F51*F50)),0,F67/(F52*F51*F50))</f>
        <v>11.099477387274067</v>
      </c>
      <c r="G70" s="51">
        <f>IF(ISERROR(G67/(G52*G51*G50)),0,G67/(G52*G51*G50))</f>
        <v>0.863255163327149</v>
      </c>
      <c r="H70" s="51">
        <f>IF(ISERROR(H67/(H52*H51*H50)),0,H67/(H52*H51*H50))</f>
        <v>0.9303460235718319</v>
      </c>
      <c r="I70" s="51">
        <f>IF(ISERROR(I67/(I52*I51*I50)),0,I67/(I52*I51*I50))</f>
        <v>24.47714259493997</v>
      </c>
    </row>
  </sheetData>
  <sheetProtection sheet="1" objects="1" scenarios="1" formatCells="0" formatColumns="0" formatRows="0" insertColumns="0" insertRows="0" insertHyperlinks="0" deleteColumns="0" deleteRows="0"/>
  <protectedRanges>
    <protectedRange sqref="A1:J2" name="Title"/>
    <protectedRange sqref="A6:J20" name="Breakdown by Facility"/>
    <protectedRange sqref="D22:D23 D25 D27:D28" name="Construction Percentages"/>
    <protectedRange sqref="D39 D45 E41:I44 E34:I37" name="Operating Costs"/>
    <protectedRange sqref="E50:I53" name="Revenue"/>
  </protectedRanges>
  <mergeCells count="3">
    <mergeCell ref="E5:J5"/>
    <mergeCell ref="A1:J1"/>
    <mergeCell ref="A2:J2"/>
  </mergeCells>
  <printOptions/>
  <pageMargins left="0.75" right="0.75" top="1" bottom="1" header="0.5" footer="0.5"/>
  <pageSetup firstPageNumber="22" useFirstPageNumber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W70"/>
  <sheetViews>
    <sheetView workbookViewId="0" topLeftCell="A1">
      <selection activeCell="A1" sqref="A1:H1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14.8515625" style="0" customWidth="1"/>
    <col min="4" max="4" width="5.421875" style="0" customWidth="1"/>
    <col min="5" max="5" width="16.8515625" style="0" bestFit="1" customWidth="1"/>
    <col min="6" max="6" width="12.8515625" style="0" bestFit="1" customWidth="1"/>
    <col min="7" max="7" width="11.57421875" style="0" bestFit="1" customWidth="1"/>
    <col min="8" max="8" width="12.00390625" style="0" bestFit="1" customWidth="1"/>
  </cols>
  <sheetData>
    <row r="1" spans="1:8" ht="15.75">
      <c r="A1" s="108" t="s">
        <v>164</v>
      </c>
      <c r="B1" s="108"/>
      <c r="C1" s="108"/>
      <c r="D1" s="108"/>
      <c r="E1" s="108"/>
      <c r="F1" s="108"/>
      <c r="G1" s="108"/>
      <c r="H1" s="108"/>
    </row>
    <row r="2" spans="1:8" ht="15">
      <c r="A2" s="109" t="s">
        <v>38</v>
      </c>
      <c r="B2" s="109"/>
      <c r="C2" s="109"/>
      <c r="D2" s="109"/>
      <c r="E2" s="109"/>
      <c r="F2" s="109"/>
      <c r="G2" s="109"/>
      <c r="H2" s="109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7" t="s">
        <v>78</v>
      </c>
      <c r="D4" s="3">
        <v>0.028</v>
      </c>
      <c r="E4" s="1"/>
    </row>
    <row r="5" spans="1:8" ht="13.5" thickBot="1">
      <c r="A5" s="26" t="s">
        <v>4</v>
      </c>
      <c r="B5" s="26" t="s">
        <v>59</v>
      </c>
      <c r="C5" s="56" t="s">
        <v>0</v>
      </c>
      <c r="D5" s="29">
        <v>30</v>
      </c>
      <c r="E5" s="107" t="s">
        <v>56</v>
      </c>
      <c r="F5" s="107"/>
      <c r="G5" s="107"/>
      <c r="H5" s="107"/>
    </row>
    <row r="6" spans="1:8" ht="12.75">
      <c r="A6" s="1"/>
      <c r="B6" s="2" t="s">
        <v>1</v>
      </c>
      <c r="C6" s="2" t="s">
        <v>3</v>
      </c>
      <c r="D6" s="2" t="s">
        <v>2</v>
      </c>
      <c r="E6" s="23" t="s">
        <v>67</v>
      </c>
      <c r="F6" s="45" t="s">
        <v>37</v>
      </c>
      <c r="G6" s="45" t="s">
        <v>35</v>
      </c>
      <c r="H6" s="46" t="s">
        <v>42</v>
      </c>
    </row>
    <row r="7" spans="1:8" ht="12.75">
      <c r="A7" s="1">
        <v>1</v>
      </c>
      <c r="B7" s="7" t="s">
        <v>82</v>
      </c>
      <c r="C7" s="13">
        <v>0.32</v>
      </c>
      <c r="D7" s="7" t="s">
        <v>76</v>
      </c>
      <c r="E7" s="21"/>
      <c r="F7" s="22"/>
      <c r="G7" s="22">
        <v>18000</v>
      </c>
      <c r="H7" s="35">
        <f aca="true" t="shared" si="0" ref="H7:H20">SUM(E7:G7)*C7</f>
        <v>5760</v>
      </c>
    </row>
    <row r="8" spans="1:8" ht="12.75">
      <c r="A8" s="1">
        <v>2</v>
      </c>
      <c r="B8" s="7" t="s">
        <v>83</v>
      </c>
      <c r="C8" s="13">
        <v>0.32</v>
      </c>
      <c r="D8" s="7" t="s">
        <v>76</v>
      </c>
      <c r="E8" s="21">
        <v>9000</v>
      </c>
      <c r="F8" s="22"/>
      <c r="G8" s="22"/>
      <c r="H8" s="36">
        <f t="shared" si="0"/>
        <v>2880</v>
      </c>
    </row>
    <row r="9" spans="1:8" ht="12.75">
      <c r="A9" s="1">
        <v>3</v>
      </c>
      <c r="B9" s="7" t="s">
        <v>19</v>
      </c>
      <c r="C9" s="13">
        <v>14.5</v>
      </c>
      <c r="D9" s="7" t="s">
        <v>23</v>
      </c>
      <c r="E9" s="21"/>
      <c r="F9" s="22"/>
      <c r="G9" s="22">
        <v>6000</v>
      </c>
      <c r="H9" s="36">
        <f t="shared" si="0"/>
        <v>87000</v>
      </c>
    </row>
    <row r="10" spans="1:8" ht="12.75">
      <c r="A10" s="9">
        <v>4</v>
      </c>
      <c r="B10" s="7" t="s">
        <v>20</v>
      </c>
      <c r="C10" s="13">
        <v>11400</v>
      </c>
      <c r="D10" s="7" t="s">
        <v>5</v>
      </c>
      <c r="E10" s="21"/>
      <c r="F10" s="22"/>
      <c r="G10" s="22"/>
      <c r="H10" s="36">
        <f t="shared" si="0"/>
        <v>0</v>
      </c>
    </row>
    <row r="11" spans="1:8" ht="12.75">
      <c r="A11" s="1">
        <v>5</v>
      </c>
      <c r="B11" s="7" t="s">
        <v>21</v>
      </c>
      <c r="C11" s="13">
        <v>8000</v>
      </c>
      <c r="D11" s="7" t="s">
        <v>6</v>
      </c>
      <c r="E11" s="21"/>
      <c r="F11" s="22"/>
      <c r="G11" s="22"/>
      <c r="H11" s="36">
        <f t="shared" si="0"/>
        <v>0</v>
      </c>
    </row>
    <row r="12" spans="1:8" ht="12.75">
      <c r="A12" s="9">
        <v>6</v>
      </c>
      <c r="B12" s="7" t="s">
        <v>84</v>
      </c>
      <c r="C12" s="13">
        <v>40000</v>
      </c>
      <c r="D12" s="7" t="s">
        <v>6</v>
      </c>
      <c r="E12" s="21"/>
      <c r="F12" s="22"/>
      <c r="G12" s="22">
        <v>3</v>
      </c>
      <c r="H12" s="36">
        <f t="shared" si="0"/>
        <v>120000</v>
      </c>
    </row>
    <row r="13" spans="1:8" ht="12.75">
      <c r="A13" s="10">
        <v>7</v>
      </c>
      <c r="B13" s="7" t="s">
        <v>85</v>
      </c>
      <c r="C13" s="13">
        <v>20000</v>
      </c>
      <c r="D13" s="7" t="s">
        <v>6</v>
      </c>
      <c r="E13" s="21"/>
      <c r="F13" s="22">
        <v>1</v>
      </c>
      <c r="G13" s="22"/>
      <c r="H13" s="36">
        <f t="shared" si="0"/>
        <v>20000</v>
      </c>
    </row>
    <row r="14" spans="1:8" ht="12.75">
      <c r="A14" s="1">
        <v>8</v>
      </c>
      <c r="B14" s="7" t="s">
        <v>86</v>
      </c>
      <c r="C14" s="13">
        <v>2000</v>
      </c>
      <c r="D14" s="7" t="s">
        <v>6</v>
      </c>
      <c r="E14" s="21"/>
      <c r="F14" s="22"/>
      <c r="G14" s="22">
        <v>50</v>
      </c>
      <c r="H14" s="36">
        <f t="shared" si="0"/>
        <v>100000</v>
      </c>
    </row>
    <row r="15" spans="1:8" ht="12.75">
      <c r="A15" s="1">
        <v>9</v>
      </c>
      <c r="B15" s="7" t="s">
        <v>87</v>
      </c>
      <c r="C15" s="13">
        <v>1500</v>
      </c>
      <c r="D15" s="7" t="s">
        <v>6</v>
      </c>
      <c r="E15" s="21"/>
      <c r="F15" s="22">
        <v>8</v>
      </c>
      <c r="G15" s="22"/>
      <c r="H15" s="36">
        <f t="shared" si="0"/>
        <v>12000</v>
      </c>
    </row>
    <row r="16" spans="1:8" ht="12.75">
      <c r="A16" s="1">
        <v>10</v>
      </c>
      <c r="B16" s="7" t="s">
        <v>27</v>
      </c>
      <c r="C16" s="13">
        <v>50000</v>
      </c>
      <c r="D16" s="7" t="s">
        <v>6</v>
      </c>
      <c r="E16" s="21"/>
      <c r="F16" s="22"/>
      <c r="G16" s="22"/>
      <c r="H16" s="36">
        <f t="shared" si="0"/>
        <v>0</v>
      </c>
    </row>
    <row r="17" spans="1:8" ht="12.75">
      <c r="A17" s="9">
        <v>11</v>
      </c>
      <c r="B17" s="7" t="s">
        <v>26</v>
      </c>
      <c r="C17" s="13">
        <v>27000</v>
      </c>
      <c r="D17" s="7" t="s">
        <v>5</v>
      </c>
      <c r="E17" s="21">
        <v>1</v>
      </c>
      <c r="F17" s="22"/>
      <c r="G17" s="22"/>
      <c r="H17" s="36">
        <f t="shared" si="0"/>
        <v>27000</v>
      </c>
    </row>
    <row r="18" spans="1:231" ht="12.75">
      <c r="A18" s="10">
        <v>12</v>
      </c>
      <c r="B18" s="7" t="s">
        <v>36</v>
      </c>
      <c r="C18" s="13">
        <v>2.04</v>
      </c>
      <c r="D18" s="7" t="s">
        <v>75</v>
      </c>
      <c r="E18" s="21"/>
      <c r="F18" s="22"/>
      <c r="G18" s="22"/>
      <c r="H18" s="36">
        <f t="shared" si="0"/>
        <v>0</v>
      </c>
      <c r="I18" s="4"/>
      <c r="J18" s="6"/>
      <c r="K18" s="4"/>
      <c r="L18" s="10"/>
      <c r="M18" s="7"/>
      <c r="N18" s="7"/>
      <c r="O18" s="14"/>
      <c r="P18" s="13"/>
      <c r="Q18" s="4"/>
      <c r="R18" s="6"/>
      <c r="S18" s="4"/>
      <c r="T18" s="10"/>
      <c r="U18" s="7"/>
      <c r="V18" s="7"/>
      <c r="W18" s="14"/>
      <c r="X18" s="13"/>
      <c r="Y18" s="4"/>
      <c r="Z18" s="6"/>
      <c r="AA18" s="4"/>
      <c r="AB18" s="10"/>
      <c r="AC18" s="7"/>
      <c r="AD18" s="7"/>
      <c r="AE18" s="14"/>
      <c r="AF18" s="13"/>
      <c r="AG18" s="4"/>
      <c r="AH18" s="6"/>
      <c r="AI18" s="4"/>
      <c r="AJ18" s="10"/>
      <c r="AK18" s="7"/>
      <c r="AL18" s="7"/>
      <c r="AM18" s="14"/>
      <c r="AN18" s="13"/>
      <c r="AO18" s="4"/>
      <c r="AP18" s="6"/>
      <c r="AQ18" s="4"/>
      <c r="AR18" s="10"/>
      <c r="AS18" s="7"/>
      <c r="AT18" s="7"/>
      <c r="AU18" s="14"/>
      <c r="AV18" s="13"/>
      <c r="AW18" s="4"/>
      <c r="AX18" s="6"/>
      <c r="AY18" s="4"/>
      <c r="AZ18" s="10"/>
      <c r="BA18" s="7"/>
      <c r="BB18" s="7"/>
      <c r="BC18" s="14"/>
      <c r="BD18" s="13"/>
      <c r="BE18" s="4"/>
      <c r="BF18" s="6"/>
      <c r="BG18" s="4"/>
      <c r="BH18" s="10"/>
      <c r="BI18" s="7"/>
      <c r="BJ18" s="7"/>
      <c r="BK18" s="14"/>
      <c r="BL18" s="13"/>
      <c r="BM18" s="4"/>
      <c r="BN18" s="6"/>
      <c r="BO18" s="4"/>
      <c r="BP18" s="10"/>
      <c r="BQ18" s="7"/>
      <c r="BR18" s="7"/>
      <c r="BS18" s="14"/>
      <c r="BT18" s="13"/>
      <c r="BU18" s="4"/>
      <c r="BV18" s="6"/>
      <c r="BW18" s="4"/>
      <c r="BX18" s="10"/>
      <c r="BY18" s="7"/>
      <c r="BZ18" s="7"/>
      <c r="CA18" s="14"/>
      <c r="CB18" s="13"/>
      <c r="CC18" s="4"/>
      <c r="CD18" s="6"/>
      <c r="CE18" s="4"/>
      <c r="CF18" s="10"/>
      <c r="CG18" s="7"/>
      <c r="CH18" s="7"/>
      <c r="CI18" s="14"/>
      <c r="CJ18" s="13"/>
      <c r="CK18" s="4"/>
      <c r="CL18" s="6"/>
      <c r="CM18" s="4"/>
      <c r="CN18" s="10"/>
      <c r="CO18" s="7"/>
      <c r="CP18" s="7"/>
      <c r="CQ18" s="14"/>
      <c r="CR18" s="13"/>
      <c r="CS18" s="4"/>
      <c r="CT18" s="6"/>
      <c r="CU18" s="4"/>
      <c r="CV18" s="10"/>
      <c r="CW18" s="7"/>
      <c r="CX18" s="7"/>
      <c r="CY18" s="14"/>
      <c r="CZ18" s="13"/>
      <c r="DA18" s="4"/>
      <c r="DB18" s="6"/>
      <c r="DC18" s="4"/>
      <c r="DD18" s="10"/>
      <c r="DE18" s="7"/>
      <c r="DF18" s="7"/>
      <c r="DG18" s="14"/>
      <c r="DH18" s="13"/>
      <c r="DI18" s="4"/>
      <c r="DJ18" s="6"/>
      <c r="DK18" s="4"/>
      <c r="DL18" s="10"/>
      <c r="DM18" s="7"/>
      <c r="DN18" s="7"/>
      <c r="DO18" s="14"/>
      <c r="DP18" s="13"/>
      <c r="DQ18" s="4"/>
      <c r="DR18" s="6"/>
      <c r="DS18" s="4"/>
      <c r="DT18" s="10"/>
      <c r="DU18" s="7"/>
      <c r="DV18" s="7"/>
      <c r="DW18" s="14"/>
      <c r="DX18" s="13"/>
      <c r="DY18" s="4"/>
      <c r="DZ18" s="6"/>
      <c r="EA18" s="4"/>
      <c r="EB18" s="10"/>
      <c r="EC18" s="7"/>
      <c r="ED18" s="7"/>
      <c r="EE18" s="14"/>
      <c r="EF18" s="13"/>
      <c r="EG18" s="4"/>
      <c r="EH18" s="6"/>
      <c r="EI18" s="4"/>
      <c r="EJ18" s="10"/>
      <c r="EK18" s="7"/>
      <c r="EL18" s="7"/>
      <c r="EM18" s="14"/>
      <c r="EN18" s="13"/>
      <c r="EO18" s="4"/>
      <c r="EP18" s="6"/>
      <c r="EQ18" s="4"/>
      <c r="ER18" s="10"/>
      <c r="ES18" s="7"/>
      <c r="ET18" s="7"/>
      <c r="EU18" s="14"/>
      <c r="EV18" s="13"/>
      <c r="EW18" s="4"/>
      <c r="EX18" s="6"/>
      <c r="EY18" s="4"/>
      <c r="EZ18" s="10"/>
      <c r="FA18" s="7"/>
      <c r="FB18" s="7"/>
      <c r="FC18" s="14"/>
      <c r="FD18" s="13"/>
      <c r="FE18" s="4"/>
      <c r="FF18" s="6"/>
      <c r="FG18" s="4"/>
      <c r="FH18" s="10"/>
      <c r="FI18" s="7"/>
      <c r="FJ18" s="7"/>
      <c r="FK18" s="14"/>
      <c r="FL18" s="13"/>
      <c r="FM18" s="4"/>
      <c r="FN18" s="6"/>
      <c r="FO18" s="4"/>
      <c r="FP18" s="10"/>
      <c r="FQ18" s="7"/>
      <c r="FR18" s="7"/>
      <c r="FS18" s="14"/>
      <c r="FT18" s="13"/>
      <c r="FU18" s="4"/>
      <c r="FV18" s="6"/>
      <c r="FW18" s="4"/>
      <c r="FX18" s="10"/>
      <c r="FY18" s="7"/>
      <c r="FZ18" s="7"/>
      <c r="GA18" s="14"/>
      <c r="GB18" s="13"/>
      <c r="GC18" s="4"/>
      <c r="GD18" s="6"/>
      <c r="GE18" s="4"/>
      <c r="GF18" s="10"/>
      <c r="GG18" s="7"/>
      <c r="GH18" s="7"/>
      <c r="GI18" s="14"/>
      <c r="GJ18" s="13"/>
      <c r="GK18" s="4"/>
      <c r="GL18" s="6"/>
      <c r="GM18" s="4"/>
      <c r="GN18" s="10"/>
      <c r="GO18" s="7"/>
      <c r="GP18" s="7"/>
      <c r="GQ18" s="14"/>
      <c r="GR18" s="13"/>
      <c r="GS18" s="4"/>
      <c r="GT18" s="6"/>
      <c r="GU18" s="4"/>
      <c r="GV18" s="10"/>
      <c r="GW18" s="7"/>
      <c r="GX18" s="7"/>
      <c r="GY18" s="14"/>
      <c r="GZ18" s="13"/>
      <c r="HA18" s="4"/>
      <c r="HB18" s="6"/>
      <c r="HC18" s="4"/>
      <c r="HD18" s="10"/>
      <c r="HE18" s="7"/>
      <c r="HF18" s="7"/>
      <c r="HG18" s="14"/>
      <c r="HH18" s="13"/>
      <c r="HI18" s="4"/>
      <c r="HJ18" s="6"/>
      <c r="HK18" s="4"/>
      <c r="HL18" s="10"/>
      <c r="HM18" s="7"/>
      <c r="HN18" s="7"/>
      <c r="HO18" s="14"/>
      <c r="HP18" s="13"/>
      <c r="HQ18" s="4"/>
      <c r="HR18" s="6"/>
      <c r="HS18" s="4"/>
      <c r="HT18" s="10"/>
      <c r="HU18" s="7"/>
      <c r="HV18" s="7"/>
      <c r="HW18" s="14"/>
    </row>
    <row r="19" spans="1:231" ht="12.75">
      <c r="A19" s="10">
        <v>13</v>
      </c>
      <c r="B19" s="7" t="s">
        <v>39</v>
      </c>
      <c r="C19" s="13">
        <v>25</v>
      </c>
      <c r="D19" s="7" t="s">
        <v>77</v>
      </c>
      <c r="E19" s="21"/>
      <c r="F19" s="22"/>
      <c r="G19" s="22"/>
      <c r="H19" s="36">
        <f t="shared" si="0"/>
        <v>0</v>
      </c>
      <c r="I19" s="4"/>
      <c r="J19" s="6"/>
      <c r="K19" s="4"/>
      <c r="L19" s="10"/>
      <c r="M19" s="7"/>
      <c r="N19" s="7"/>
      <c r="O19" s="14"/>
      <c r="P19" s="13"/>
      <c r="Q19" s="4"/>
      <c r="R19" s="6"/>
      <c r="S19" s="4"/>
      <c r="T19" s="10"/>
      <c r="U19" s="7"/>
      <c r="V19" s="7"/>
      <c r="W19" s="14"/>
      <c r="X19" s="13"/>
      <c r="Y19" s="4"/>
      <c r="Z19" s="6"/>
      <c r="AA19" s="4"/>
      <c r="AB19" s="10"/>
      <c r="AC19" s="7"/>
      <c r="AD19" s="7"/>
      <c r="AE19" s="14"/>
      <c r="AF19" s="13"/>
      <c r="AG19" s="4"/>
      <c r="AH19" s="6"/>
      <c r="AI19" s="4"/>
      <c r="AJ19" s="10"/>
      <c r="AK19" s="7"/>
      <c r="AL19" s="7"/>
      <c r="AM19" s="14"/>
      <c r="AN19" s="13"/>
      <c r="AO19" s="4"/>
      <c r="AP19" s="6"/>
      <c r="AQ19" s="4"/>
      <c r="AR19" s="10"/>
      <c r="AS19" s="7"/>
      <c r="AT19" s="7"/>
      <c r="AU19" s="14"/>
      <c r="AV19" s="13"/>
      <c r="AW19" s="4"/>
      <c r="AX19" s="6"/>
      <c r="AY19" s="4"/>
      <c r="AZ19" s="10"/>
      <c r="BA19" s="7"/>
      <c r="BB19" s="7"/>
      <c r="BC19" s="14"/>
      <c r="BD19" s="13"/>
      <c r="BE19" s="4"/>
      <c r="BF19" s="6"/>
      <c r="BG19" s="4"/>
      <c r="BH19" s="10"/>
      <c r="BI19" s="7"/>
      <c r="BJ19" s="7"/>
      <c r="BK19" s="14"/>
      <c r="BL19" s="13"/>
      <c r="BM19" s="4"/>
      <c r="BN19" s="6"/>
      <c r="BO19" s="4"/>
      <c r="BP19" s="10"/>
      <c r="BQ19" s="7"/>
      <c r="BR19" s="7"/>
      <c r="BS19" s="14"/>
      <c r="BT19" s="13"/>
      <c r="BU19" s="4"/>
      <c r="BV19" s="6"/>
      <c r="BW19" s="4"/>
      <c r="BX19" s="10"/>
      <c r="BY19" s="7"/>
      <c r="BZ19" s="7"/>
      <c r="CA19" s="14"/>
      <c r="CB19" s="13"/>
      <c r="CC19" s="4"/>
      <c r="CD19" s="6"/>
      <c r="CE19" s="4"/>
      <c r="CF19" s="10"/>
      <c r="CG19" s="7"/>
      <c r="CH19" s="7"/>
      <c r="CI19" s="14"/>
      <c r="CJ19" s="13"/>
      <c r="CK19" s="4"/>
      <c r="CL19" s="6"/>
      <c r="CM19" s="4"/>
      <c r="CN19" s="10"/>
      <c r="CO19" s="7"/>
      <c r="CP19" s="7"/>
      <c r="CQ19" s="14"/>
      <c r="CR19" s="13"/>
      <c r="CS19" s="4"/>
      <c r="CT19" s="6"/>
      <c r="CU19" s="4"/>
      <c r="CV19" s="10"/>
      <c r="CW19" s="7"/>
      <c r="CX19" s="7"/>
      <c r="CY19" s="14"/>
      <c r="CZ19" s="13"/>
      <c r="DA19" s="4"/>
      <c r="DB19" s="6"/>
      <c r="DC19" s="4"/>
      <c r="DD19" s="10"/>
      <c r="DE19" s="7"/>
      <c r="DF19" s="7"/>
      <c r="DG19" s="14"/>
      <c r="DH19" s="13"/>
      <c r="DI19" s="4"/>
      <c r="DJ19" s="6"/>
      <c r="DK19" s="4"/>
      <c r="DL19" s="10"/>
      <c r="DM19" s="7"/>
      <c r="DN19" s="7"/>
      <c r="DO19" s="14"/>
      <c r="DP19" s="13"/>
      <c r="DQ19" s="4"/>
      <c r="DR19" s="6"/>
      <c r="DS19" s="4"/>
      <c r="DT19" s="10"/>
      <c r="DU19" s="7"/>
      <c r="DV19" s="7"/>
      <c r="DW19" s="14"/>
      <c r="DX19" s="13"/>
      <c r="DY19" s="4"/>
      <c r="DZ19" s="6"/>
      <c r="EA19" s="4"/>
      <c r="EB19" s="10"/>
      <c r="EC19" s="7"/>
      <c r="ED19" s="7"/>
      <c r="EE19" s="14"/>
      <c r="EF19" s="13"/>
      <c r="EG19" s="4"/>
      <c r="EH19" s="6"/>
      <c r="EI19" s="4"/>
      <c r="EJ19" s="10"/>
      <c r="EK19" s="7"/>
      <c r="EL19" s="7"/>
      <c r="EM19" s="14"/>
      <c r="EN19" s="13"/>
      <c r="EO19" s="4"/>
      <c r="EP19" s="6"/>
      <c r="EQ19" s="4"/>
      <c r="ER19" s="10"/>
      <c r="ES19" s="7"/>
      <c r="ET19" s="7"/>
      <c r="EU19" s="14"/>
      <c r="EV19" s="13"/>
      <c r="EW19" s="4"/>
      <c r="EX19" s="6"/>
      <c r="EY19" s="4"/>
      <c r="EZ19" s="10"/>
      <c r="FA19" s="7"/>
      <c r="FB19" s="7"/>
      <c r="FC19" s="14"/>
      <c r="FD19" s="13"/>
      <c r="FE19" s="4"/>
      <c r="FF19" s="6"/>
      <c r="FG19" s="4"/>
      <c r="FH19" s="10"/>
      <c r="FI19" s="7"/>
      <c r="FJ19" s="7"/>
      <c r="FK19" s="14"/>
      <c r="FL19" s="13"/>
      <c r="FM19" s="4"/>
      <c r="FN19" s="6"/>
      <c r="FO19" s="4"/>
      <c r="FP19" s="10"/>
      <c r="FQ19" s="7"/>
      <c r="FR19" s="7"/>
      <c r="FS19" s="14"/>
      <c r="FT19" s="13"/>
      <c r="FU19" s="4"/>
      <c r="FV19" s="6"/>
      <c r="FW19" s="4"/>
      <c r="FX19" s="10"/>
      <c r="FY19" s="7"/>
      <c r="FZ19" s="7"/>
      <c r="GA19" s="14"/>
      <c r="GB19" s="13"/>
      <c r="GC19" s="4"/>
      <c r="GD19" s="6"/>
      <c r="GE19" s="4"/>
      <c r="GF19" s="10"/>
      <c r="GG19" s="7"/>
      <c r="GH19" s="7"/>
      <c r="GI19" s="14"/>
      <c r="GJ19" s="13"/>
      <c r="GK19" s="4"/>
      <c r="GL19" s="6"/>
      <c r="GM19" s="4"/>
      <c r="GN19" s="10"/>
      <c r="GO19" s="7"/>
      <c r="GP19" s="7"/>
      <c r="GQ19" s="14"/>
      <c r="GR19" s="13"/>
      <c r="GS19" s="4"/>
      <c r="GT19" s="6"/>
      <c r="GU19" s="4"/>
      <c r="GV19" s="10"/>
      <c r="GW19" s="7"/>
      <c r="GX19" s="7"/>
      <c r="GY19" s="14"/>
      <c r="GZ19" s="13"/>
      <c r="HA19" s="4"/>
      <c r="HB19" s="6"/>
      <c r="HC19" s="4"/>
      <c r="HD19" s="10"/>
      <c r="HE19" s="7"/>
      <c r="HF19" s="7"/>
      <c r="HG19" s="14"/>
      <c r="HH19" s="13"/>
      <c r="HI19" s="4"/>
      <c r="HJ19" s="6"/>
      <c r="HK19" s="4"/>
      <c r="HL19" s="10"/>
      <c r="HM19" s="7"/>
      <c r="HN19" s="7"/>
      <c r="HO19" s="14"/>
      <c r="HP19" s="13"/>
      <c r="HQ19" s="4"/>
      <c r="HR19" s="6"/>
      <c r="HS19" s="4"/>
      <c r="HT19" s="10"/>
      <c r="HU19" s="7"/>
      <c r="HV19" s="7"/>
      <c r="HW19" s="14"/>
    </row>
    <row r="20" spans="1:8" ht="12.75">
      <c r="A20" s="9"/>
      <c r="B20" s="7"/>
      <c r="C20" s="4"/>
      <c r="D20" s="7"/>
      <c r="E20" s="1"/>
      <c r="F20" s="8"/>
      <c r="G20" s="8"/>
      <c r="H20" s="36">
        <f t="shared" si="0"/>
        <v>0</v>
      </c>
    </row>
    <row r="21" spans="1:8" ht="12.75">
      <c r="A21" s="9"/>
      <c r="B21" s="7"/>
      <c r="C21" s="19" t="s">
        <v>7</v>
      </c>
      <c r="D21" s="7"/>
      <c r="E21" s="59">
        <f>SUMPRODUCT($C$7:$C$19,E7:E19)</f>
        <v>29880</v>
      </c>
      <c r="F21" s="59">
        <f>SUMPRODUCT($C$7:$C$19,F7:F19)</f>
        <v>32000</v>
      </c>
      <c r="G21" s="59">
        <f>SUMPRODUCT($C$7:$C$19,G7:G19)</f>
        <v>312760</v>
      </c>
      <c r="H21" s="59">
        <f aca="true" t="shared" si="1" ref="H21:H28">SUM(E21:G21)</f>
        <v>374640</v>
      </c>
    </row>
    <row r="22" spans="1:8" ht="12.75">
      <c r="A22" s="9"/>
      <c r="C22" s="54" t="s">
        <v>11</v>
      </c>
      <c r="D22" s="11">
        <v>0.05</v>
      </c>
      <c r="E22" s="36">
        <f>$D$22*E21</f>
        <v>1494</v>
      </c>
      <c r="F22" s="36">
        <f>$D$22*F21</f>
        <v>1600</v>
      </c>
      <c r="G22" s="36">
        <f>$D$22*G21</f>
        <v>15638</v>
      </c>
      <c r="H22" s="36">
        <f t="shared" si="1"/>
        <v>18732</v>
      </c>
    </row>
    <row r="23" spans="1:8" ht="12.75">
      <c r="A23" s="9"/>
      <c r="C23" s="54" t="s">
        <v>12</v>
      </c>
      <c r="D23" s="11">
        <v>0.1</v>
      </c>
      <c r="E23" s="36">
        <f>E21*$D$23</f>
        <v>2988</v>
      </c>
      <c r="F23" s="36">
        <f>F21*$D$23</f>
        <v>3200</v>
      </c>
      <c r="G23" s="36">
        <f>G21*$D$23</f>
        <v>31276</v>
      </c>
      <c r="H23" s="36">
        <f t="shared" si="1"/>
        <v>37464</v>
      </c>
    </row>
    <row r="24" spans="1:8" ht="12.75">
      <c r="A24" s="9"/>
      <c r="B24" s="54"/>
      <c r="C24" s="18" t="s">
        <v>13</v>
      </c>
      <c r="D24" s="11"/>
      <c r="E24" s="59">
        <f>SUM(E21:E23)</f>
        <v>34362</v>
      </c>
      <c r="F24" s="59">
        <f>SUM(F21:F23)</f>
        <v>36800</v>
      </c>
      <c r="G24" s="59">
        <f>SUM(G21:G23)</f>
        <v>359674</v>
      </c>
      <c r="H24" s="59">
        <f t="shared" si="1"/>
        <v>430836</v>
      </c>
    </row>
    <row r="25" spans="1:8" ht="12.75">
      <c r="A25" s="9"/>
      <c r="C25" s="54" t="s">
        <v>14</v>
      </c>
      <c r="D25" s="11">
        <v>0.2</v>
      </c>
      <c r="E25" s="36">
        <f>$D$25*E$24</f>
        <v>6872.400000000001</v>
      </c>
      <c r="F25" s="36">
        <f>$D$25*F$24</f>
        <v>7360</v>
      </c>
      <c r="G25" s="36">
        <f>$D$25*G$24</f>
        <v>71934.8</v>
      </c>
      <c r="H25" s="36">
        <f t="shared" si="1"/>
        <v>86167.20000000001</v>
      </c>
    </row>
    <row r="26" spans="1:8" ht="12.75">
      <c r="A26" s="1"/>
      <c r="B26" s="55"/>
      <c r="C26" s="19" t="s">
        <v>15</v>
      </c>
      <c r="D26" s="1"/>
      <c r="E26" s="59">
        <f>ROUND(SUM(E24:E25),-2)</f>
        <v>41200</v>
      </c>
      <c r="F26" s="59">
        <f>ROUND(SUM(F24:F25),-2)</f>
        <v>44200</v>
      </c>
      <c r="G26" s="59">
        <f>ROUND(SUM(G24:G25),-2)</f>
        <v>431600</v>
      </c>
      <c r="H26" s="59">
        <f t="shared" si="1"/>
        <v>517000</v>
      </c>
    </row>
    <row r="27" spans="1:8" ht="12.75">
      <c r="A27" s="1"/>
      <c r="C27" s="54" t="s">
        <v>30</v>
      </c>
      <c r="D27" s="11">
        <v>0.06</v>
      </c>
      <c r="E27" s="36">
        <f>$D$27*E$26</f>
        <v>2472</v>
      </c>
      <c r="F27" s="36">
        <f>$D$27*F$26</f>
        <v>2652</v>
      </c>
      <c r="G27" s="36">
        <f>$D$27*G$26</f>
        <v>25896</v>
      </c>
      <c r="H27" s="36">
        <f t="shared" si="1"/>
        <v>31020</v>
      </c>
    </row>
    <row r="28" spans="1:8" ht="12.75">
      <c r="A28" s="1"/>
      <c r="C28" s="54" t="s">
        <v>31</v>
      </c>
      <c r="D28" s="11">
        <v>0.06</v>
      </c>
      <c r="E28" s="36">
        <f>$D$28*E$26</f>
        <v>2472</v>
      </c>
      <c r="F28" s="36">
        <f>$D$28*F$26</f>
        <v>2652</v>
      </c>
      <c r="G28" s="36">
        <f>$D$28*G$26</f>
        <v>25896</v>
      </c>
      <c r="H28" s="36">
        <f t="shared" si="1"/>
        <v>31020</v>
      </c>
    </row>
    <row r="29" spans="1:8" ht="12.75">
      <c r="A29" s="1"/>
      <c r="B29" s="1"/>
      <c r="C29" s="5"/>
      <c r="D29" s="1"/>
      <c r="E29" s="1"/>
      <c r="F29" s="1"/>
      <c r="G29" s="1"/>
      <c r="H29" s="4"/>
    </row>
    <row r="30" spans="1:8" ht="13.5" thickBot="1">
      <c r="A30" s="1"/>
      <c r="B30" s="1"/>
      <c r="C30" s="19" t="s">
        <v>8</v>
      </c>
      <c r="D30" s="1"/>
      <c r="E30" s="57">
        <f>ROUND(SUM(E26:E29),-3)</f>
        <v>46000</v>
      </c>
      <c r="F30" s="57">
        <f>ROUND(SUM(F26:F29),-3)</f>
        <v>50000</v>
      </c>
      <c r="G30" s="57">
        <f>ROUND(SUM(G26:G29),-3)</f>
        <v>483000</v>
      </c>
      <c r="H30" s="57">
        <f>SUM(E30:G30)</f>
        <v>579000</v>
      </c>
    </row>
    <row r="31" spans="1:8" ht="13.5" thickTop="1">
      <c r="A31" s="1"/>
      <c r="B31" s="1"/>
      <c r="C31" s="19"/>
      <c r="D31" s="1"/>
      <c r="E31" s="15"/>
      <c r="F31" s="15"/>
      <c r="G31" s="15"/>
      <c r="H31" s="15"/>
    </row>
    <row r="32" spans="1:8" ht="12.75">
      <c r="A32" s="1"/>
      <c r="B32" s="1"/>
      <c r="C32" s="4"/>
      <c r="D32" s="1"/>
      <c r="E32" s="1"/>
      <c r="H32" s="4"/>
    </row>
    <row r="33" spans="1:8" ht="13.5" thickBot="1">
      <c r="A33" s="26" t="s">
        <v>9</v>
      </c>
      <c r="B33" s="27" t="s">
        <v>57</v>
      </c>
      <c r="C33" s="28"/>
      <c r="D33" s="29"/>
      <c r="E33" s="44" t="str">
        <f>E6</f>
        <v>BOAT RAMP/PARKING</v>
      </c>
      <c r="F33" s="44" t="str">
        <f>F6</f>
        <v>DAY USE AREA</v>
      </c>
      <c r="G33" s="44" t="str">
        <f>G6</f>
        <v>CAMPGROUND</v>
      </c>
      <c r="H33" s="44" t="str">
        <f>H6</f>
        <v>TOTAL</v>
      </c>
    </row>
    <row r="34" spans="1:8" ht="12.75">
      <c r="A34" s="16"/>
      <c r="B34" s="25" t="s">
        <v>62</v>
      </c>
      <c r="C34" s="4"/>
      <c r="D34" s="1"/>
      <c r="E34" s="7">
        <v>1</v>
      </c>
      <c r="F34" s="7">
        <v>8</v>
      </c>
      <c r="G34" s="7">
        <v>50</v>
      </c>
      <c r="H34" s="4"/>
    </row>
    <row r="35" spans="1:8" ht="12.75">
      <c r="A35" s="16"/>
      <c r="B35" s="25" t="s">
        <v>63</v>
      </c>
      <c r="C35" s="4"/>
      <c r="D35" s="1"/>
      <c r="E35" s="7">
        <v>60</v>
      </c>
      <c r="F35" s="7">
        <v>60</v>
      </c>
      <c r="G35" s="7">
        <v>60</v>
      </c>
      <c r="H35" s="12"/>
    </row>
    <row r="36" spans="2:8" ht="12.75">
      <c r="B36" s="25" t="s">
        <v>43</v>
      </c>
      <c r="C36" s="8"/>
      <c r="D36" s="8"/>
      <c r="E36" s="8">
        <f>E34*E35*1</f>
        <v>60</v>
      </c>
      <c r="F36" s="8">
        <f>F34*F35*0.25</f>
        <v>120</v>
      </c>
      <c r="G36" s="8">
        <f>G34*G35*0.25</f>
        <v>750</v>
      </c>
      <c r="H36" s="8"/>
    </row>
    <row r="37" spans="2:8" ht="12.75">
      <c r="B37" s="25" t="s">
        <v>44</v>
      </c>
      <c r="C37" s="8"/>
      <c r="D37" s="8"/>
      <c r="E37" s="43">
        <v>15</v>
      </c>
      <c r="F37" s="43">
        <v>15</v>
      </c>
      <c r="G37" s="43">
        <v>15</v>
      </c>
      <c r="H37" s="43"/>
    </row>
    <row r="38" spans="2:8" ht="12.75">
      <c r="B38" s="25" t="s">
        <v>45</v>
      </c>
      <c r="C38" s="8"/>
      <c r="D38" s="8"/>
      <c r="E38" s="37">
        <f>E36*E37</f>
        <v>900</v>
      </c>
      <c r="F38" s="37">
        <f>F36*F37</f>
        <v>1800</v>
      </c>
      <c r="G38" s="37">
        <f>G36*G37</f>
        <v>11250</v>
      </c>
      <c r="H38" s="37">
        <f>SUM(E38:G38)</f>
        <v>13950</v>
      </c>
    </row>
    <row r="39" spans="2:8" ht="12.75">
      <c r="B39" s="25" t="s">
        <v>46</v>
      </c>
      <c r="C39" s="8"/>
      <c r="D39" s="33">
        <v>0.075</v>
      </c>
      <c r="E39" s="38">
        <f>ROUND(E38*$D$39,-2)</f>
        <v>100</v>
      </c>
      <c r="F39" s="38">
        <f>ROUND(F38*$D$39,-2)</f>
        <v>100</v>
      </c>
      <c r="G39" s="38">
        <f>ROUND(G38*$D$39,-2)</f>
        <v>800</v>
      </c>
      <c r="H39" s="38">
        <f>SUM(D39:G39)</f>
        <v>1000.075</v>
      </c>
    </row>
    <row r="40" spans="2:8" ht="12.75">
      <c r="B40" s="25" t="s">
        <v>47</v>
      </c>
      <c r="C40" s="8"/>
      <c r="D40" s="8"/>
      <c r="E40" s="42">
        <f>SUM(E38:E39)</f>
        <v>1000</v>
      </c>
      <c r="F40" s="42">
        <f>SUM(F38:F39)</f>
        <v>1900</v>
      </c>
      <c r="G40" s="42">
        <f>SUM(G38:G39)</f>
        <v>12050</v>
      </c>
      <c r="H40" s="42">
        <f aca="true" t="shared" si="2" ref="H40:H46">SUM(E40:G40)</f>
        <v>14950</v>
      </c>
    </row>
    <row r="41" spans="2:8" ht="12.75">
      <c r="B41" s="25" t="s">
        <v>48</v>
      </c>
      <c r="C41" s="8"/>
      <c r="D41" s="8"/>
      <c r="E41" s="39">
        <v>200</v>
      </c>
      <c r="F41" s="39">
        <v>500</v>
      </c>
      <c r="G41" s="39">
        <v>500</v>
      </c>
      <c r="H41" s="39">
        <f t="shared" si="2"/>
        <v>1200</v>
      </c>
    </row>
    <row r="42" spans="2:8" ht="12.75">
      <c r="B42" s="25" t="s">
        <v>49</v>
      </c>
      <c r="C42" s="8"/>
      <c r="D42" s="8"/>
      <c r="E42" s="39"/>
      <c r="F42" s="39"/>
      <c r="G42" s="39"/>
      <c r="H42" s="39">
        <f t="shared" si="2"/>
        <v>0</v>
      </c>
    </row>
    <row r="43" spans="2:8" ht="12.75">
      <c r="B43" s="25" t="s">
        <v>160</v>
      </c>
      <c r="C43" s="8"/>
      <c r="D43" s="8"/>
      <c r="E43" s="39"/>
      <c r="F43" s="39"/>
      <c r="G43" s="39"/>
      <c r="H43" s="39"/>
    </row>
    <row r="44" spans="2:8" ht="12.75">
      <c r="B44" s="25" t="s">
        <v>50</v>
      </c>
      <c r="C44" s="8"/>
      <c r="D44" s="8"/>
      <c r="E44" s="40"/>
      <c r="F44" s="40"/>
      <c r="G44" s="40"/>
      <c r="H44" s="39">
        <f t="shared" si="2"/>
        <v>0</v>
      </c>
    </row>
    <row r="45" spans="2:8" ht="12.75">
      <c r="B45" s="25" t="s">
        <v>61</v>
      </c>
      <c r="C45" s="8"/>
      <c r="D45" s="33">
        <v>0.2</v>
      </c>
      <c r="E45" s="41">
        <f>ROUND(SUM(E40:E44)*$D$45,-2)</f>
        <v>200</v>
      </c>
      <c r="F45" s="41">
        <f>ROUND(SUM(F40:F44)*$D$45,-2)</f>
        <v>500</v>
      </c>
      <c r="G45" s="41">
        <f>ROUND(SUM(G40:G44)*$D$45,-2)</f>
        <v>2500</v>
      </c>
      <c r="H45" s="41">
        <f t="shared" si="2"/>
        <v>3200</v>
      </c>
    </row>
    <row r="46" spans="2:8" ht="13.5" thickBot="1">
      <c r="B46" s="34" t="s">
        <v>51</v>
      </c>
      <c r="C46" s="8"/>
      <c r="D46" s="8"/>
      <c r="E46" s="58">
        <f>SUM(E40:E45)</f>
        <v>1400</v>
      </c>
      <c r="F46" s="58">
        <f>SUM(F40:F45)</f>
        <v>2900</v>
      </c>
      <c r="G46" s="58">
        <f>SUM(G40:G45)</f>
        <v>15050</v>
      </c>
      <c r="H46" s="58">
        <f t="shared" si="2"/>
        <v>19350</v>
      </c>
    </row>
    <row r="47" spans="2:8" ht="13.5" thickTop="1">
      <c r="B47" s="7"/>
      <c r="C47" s="8"/>
      <c r="D47" s="8"/>
      <c r="E47" s="8"/>
      <c r="F47" s="8"/>
      <c r="G47" s="8"/>
      <c r="H47" s="12"/>
    </row>
    <row r="48" spans="2:8" ht="12.75">
      <c r="B48" s="7"/>
      <c r="C48" s="8"/>
      <c r="D48" s="8"/>
      <c r="E48" s="8"/>
      <c r="F48" s="8"/>
      <c r="G48" s="8"/>
      <c r="H48" s="12"/>
    </row>
    <row r="49" spans="1:8" ht="13.5" thickBot="1">
      <c r="A49" s="26" t="s">
        <v>10</v>
      </c>
      <c r="B49" s="27" t="s">
        <v>58</v>
      </c>
      <c r="C49" s="30"/>
      <c r="D49" s="30"/>
      <c r="E49" s="44" t="str">
        <f>E33</f>
        <v>BOAT RAMP/PARKING</v>
      </c>
      <c r="F49" s="44" t="str">
        <f>F33</f>
        <v>DAY USE AREA</v>
      </c>
      <c r="G49" s="44" t="str">
        <f>G33</f>
        <v>CAMPGROUND</v>
      </c>
      <c r="H49" s="47" t="str">
        <f>H33</f>
        <v>TOTAL</v>
      </c>
    </row>
    <row r="50" spans="1:8" ht="12.75">
      <c r="A50" s="16"/>
      <c r="B50" s="25" t="s">
        <v>62</v>
      </c>
      <c r="C50" s="7"/>
      <c r="D50" s="7"/>
      <c r="E50" s="7">
        <v>15</v>
      </c>
      <c r="F50" s="7">
        <v>8</v>
      </c>
      <c r="G50" s="7">
        <v>50</v>
      </c>
      <c r="H50" s="12"/>
    </row>
    <row r="51" spans="1:8" ht="12.75">
      <c r="A51" s="16"/>
      <c r="B51" s="25" t="s">
        <v>64</v>
      </c>
      <c r="C51" s="7"/>
      <c r="D51" s="7"/>
      <c r="E51" s="7">
        <v>60</v>
      </c>
      <c r="F51" s="7">
        <v>60</v>
      </c>
      <c r="G51" s="7">
        <v>60</v>
      </c>
      <c r="H51" s="12"/>
    </row>
    <row r="52" spans="2:8" ht="12.75">
      <c r="B52" s="25" t="s">
        <v>65</v>
      </c>
      <c r="C52" s="8"/>
      <c r="D52" s="8"/>
      <c r="E52" s="31">
        <v>7</v>
      </c>
      <c r="F52" s="31">
        <v>7</v>
      </c>
      <c r="G52" s="31">
        <v>12</v>
      </c>
      <c r="H52" s="12"/>
    </row>
    <row r="53" spans="2:8" ht="12.75">
      <c r="B53" s="25" t="s">
        <v>66</v>
      </c>
      <c r="C53" s="8"/>
      <c r="D53" s="8"/>
      <c r="E53" s="24">
        <v>1</v>
      </c>
      <c r="F53" s="24">
        <v>1</v>
      </c>
      <c r="G53" s="24">
        <v>1</v>
      </c>
      <c r="H53" s="24"/>
    </row>
    <row r="54" spans="2:8" ht="13.5" thickBot="1">
      <c r="B54" s="34" t="s">
        <v>52</v>
      </c>
      <c r="C54" s="8"/>
      <c r="D54" s="8"/>
      <c r="E54" s="49">
        <f>E50*E51*E52*E53</f>
        <v>6300</v>
      </c>
      <c r="F54" s="49">
        <f>F50*F51*F52*F53</f>
        <v>3360</v>
      </c>
      <c r="G54" s="49">
        <f>G50*G51*G52*G53</f>
        <v>36000</v>
      </c>
      <c r="H54" s="49">
        <f>SUM(E54:G54)</f>
        <v>45660</v>
      </c>
    </row>
    <row r="55" spans="2:8" ht="13.5" thickTop="1">
      <c r="B55" s="25"/>
      <c r="C55" s="8"/>
      <c r="D55" s="8"/>
      <c r="E55" s="8"/>
      <c r="F55" s="8"/>
      <c r="G55" s="8"/>
      <c r="H55" s="8"/>
    </row>
    <row r="56" spans="2:8" ht="12.75">
      <c r="B56" s="25"/>
      <c r="C56" s="8"/>
      <c r="D56" s="8"/>
      <c r="E56" s="8"/>
      <c r="F56" s="8"/>
      <c r="G56" s="8"/>
      <c r="H56" s="8"/>
    </row>
    <row r="57" spans="1:8" ht="13.5" thickBot="1">
      <c r="A57" s="26" t="s">
        <v>69</v>
      </c>
      <c r="B57" s="27" t="s">
        <v>68</v>
      </c>
      <c r="C57" s="30"/>
      <c r="D57" s="30"/>
      <c r="E57" s="44" t="str">
        <f>E49</f>
        <v>BOAT RAMP/PARKING</v>
      </c>
      <c r="F57" s="44" t="str">
        <f>F49</f>
        <v>DAY USE AREA</v>
      </c>
      <c r="G57" s="44" t="str">
        <f>G49</f>
        <v>CAMPGROUND</v>
      </c>
      <c r="H57" s="47" t="str">
        <f>H49</f>
        <v>TOTAL</v>
      </c>
    </row>
    <row r="58" spans="2:8" ht="12.75">
      <c r="B58" s="25" t="s">
        <v>53</v>
      </c>
      <c r="C58" s="8"/>
      <c r="D58" s="8"/>
      <c r="E58" s="48">
        <f>E54-E46</f>
        <v>4900</v>
      </c>
      <c r="F58" s="48">
        <f>F54-F46</f>
        <v>460</v>
      </c>
      <c r="G58" s="48">
        <f>G54-G46</f>
        <v>20950</v>
      </c>
      <c r="H58" s="48">
        <f>H54-H46</f>
        <v>26310</v>
      </c>
    </row>
    <row r="59" spans="2:8" ht="12.75">
      <c r="B59" s="25" t="s">
        <v>54</v>
      </c>
      <c r="C59" s="8"/>
      <c r="D59" s="8"/>
      <c r="E59" s="50">
        <f>E30</f>
        <v>46000</v>
      </c>
      <c r="F59" s="50">
        <f>F30</f>
        <v>50000</v>
      </c>
      <c r="G59" s="50">
        <f>G30</f>
        <v>483000</v>
      </c>
      <c r="H59" s="50">
        <f>H30</f>
        <v>579000</v>
      </c>
    </row>
    <row r="60" spans="2:8" ht="12.75">
      <c r="B60" s="25" t="s">
        <v>55</v>
      </c>
      <c r="C60" s="8"/>
      <c r="D60" s="8"/>
      <c r="E60" s="20">
        <f>IF(ISERROR(E59/E58),0,E59/E58)</f>
        <v>9.387755102040817</v>
      </c>
      <c r="F60" s="20">
        <f>IF(ISERROR(F59/F58),0,F59/F58)</f>
        <v>108.69565217391305</v>
      </c>
      <c r="G60" s="20">
        <f>IF(ISERROR(G59/G58),0,G59/G58)</f>
        <v>23.05489260143198</v>
      </c>
      <c r="H60" s="20">
        <f>IF(ISERROR(H59/H58),0,H59/H58)</f>
        <v>22.006841505131128</v>
      </c>
    </row>
    <row r="61" spans="2:8" ht="12.75">
      <c r="B61" s="25" t="s">
        <v>80</v>
      </c>
      <c r="C61" s="8"/>
      <c r="D61" s="8"/>
      <c r="E61" s="32">
        <f>IF(ISERROR(E58/E59),0,E58/E59)</f>
        <v>0.10652173913043478</v>
      </c>
      <c r="F61" s="32">
        <f>IF(ISERROR(F58/F59),0,F58/F59)</f>
        <v>0.0092</v>
      </c>
      <c r="G61" s="32">
        <f>IF(ISERROR(G58/G59),0,G58/G59)</f>
        <v>0.043374741200828154</v>
      </c>
      <c r="H61" s="32">
        <f>IF(ISERROR(H58/H59),0,H58/H59)</f>
        <v>0.04544041450777202</v>
      </c>
    </row>
    <row r="62" spans="2:8" ht="12.75">
      <c r="B62" s="25" t="s">
        <v>81</v>
      </c>
      <c r="C62" s="8"/>
      <c r="D62" s="8"/>
      <c r="E62" s="32">
        <f>IF(ISERROR(RATE($D$5,E58,-E59)),E61,RATE($D$5,E58,-E59))</f>
        <v>0.10049975275162229</v>
      </c>
      <c r="F62" s="32">
        <f>IF(ISERROR(RATE($D$5,F58,-F59)),F61,RATE($D$5,F58,-F59))</f>
        <v>-0.06875200311258799</v>
      </c>
      <c r="G62" s="32">
        <f>IF(ISERROR(RATE($D$5,G58,-G59)),G61,RATE($D$5,G58,-G59))</f>
        <v>0.017906191149439702</v>
      </c>
      <c r="H62" s="32">
        <f>IF(ISERROR(RATE($D$5,H58,-H59)),H61,RATE($D$5,H58,-H59))</f>
        <v>0.021281323955422274</v>
      </c>
    </row>
    <row r="63" spans="2:8" ht="12.75">
      <c r="B63" s="25" t="s">
        <v>79</v>
      </c>
      <c r="C63" s="8"/>
      <c r="D63" s="8"/>
      <c r="E63" s="60">
        <f>ROUND(PV($D$4,$D$5,-E58)-E59,-3)</f>
        <v>53000</v>
      </c>
      <c r="F63" s="60">
        <f>ROUND(PV($D$4,$D$5,-F58)-F59,-3)</f>
        <v>-41000</v>
      </c>
      <c r="G63" s="60">
        <f>ROUND(PV($D$4,$D$5,-G58)-G59,-3)</f>
        <v>-62000</v>
      </c>
      <c r="H63" s="60">
        <f>ROUND(PV($D$4,$D$5,-H58)-H59,-3)</f>
        <v>-50000</v>
      </c>
    </row>
    <row r="64" spans="3:8" ht="12.75">
      <c r="C64" s="8"/>
      <c r="D64" s="8"/>
      <c r="E64" s="52"/>
      <c r="F64" s="8"/>
      <c r="G64" s="8"/>
      <c r="H64" s="8"/>
    </row>
    <row r="65" spans="3:8" ht="12.75">
      <c r="C65" s="8"/>
      <c r="D65" s="8"/>
      <c r="E65" s="52"/>
      <c r="F65" s="8"/>
      <c r="G65" s="8"/>
      <c r="H65" s="8"/>
    </row>
    <row r="66" spans="1:8" ht="13.5" thickBot="1">
      <c r="A66" s="26" t="s">
        <v>70</v>
      </c>
      <c r="B66" s="27" t="s">
        <v>60</v>
      </c>
      <c r="C66" s="30"/>
      <c r="D66" s="30"/>
      <c r="E66" s="44" t="str">
        <f>E57</f>
        <v>BOAT RAMP/PARKING</v>
      </c>
      <c r="F66" s="44" t="str">
        <f>F57</f>
        <v>DAY USE AREA</v>
      </c>
      <c r="G66" s="44" t="str">
        <f>G57</f>
        <v>CAMPGROUND</v>
      </c>
      <c r="H66" s="47" t="str">
        <f>H57</f>
        <v>TOTAL</v>
      </c>
    </row>
    <row r="67" spans="2:8" ht="12.75">
      <c r="B67" s="25" t="s">
        <v>74</v>
      </c>
      <c r="C67" s="8"/>
      <c r="D67" s="8"/>
      <c r="E67" s="48">
        <f>PMT($D$4,$D$5,-E30)+E46</f>
        <v>3686.6212175874</v>
      </c>
      <c r="F67" s="48">
        <f>PMT($D$4,$D$5,-F30)+F46</f>
        <v>5385.457845203697</v>
      </c>
      <c r="G67" s="48">
        <f>PMT($D$4,$D$5,-G30)+G46</f>
        <v>39059.5227846677</v>
      </c>
      <c r="H67" s="48">
        <f>PMT($D$4,$D$5,-H30)+H46</f>
        <v>48131.6018474588</v>
      </c>
    </row>
    <row r="68" spans="2:8" ht="12.75">
      <c r="B68" s="25" t="s">
        <v>73</v>
      </c>
      <c r="E68" s="53">
        <f>IF(ISERROR(E67/(E53*E52*E50)),0,E67/(E53*E52*E50))</f>
        <v>35.110678262737146</v>
      </c>
      <c r="F68" s="53">
        <f>IF(ISERROR(F67/(F53*F52*F50)),0,F67/(F53*F52*F50))</f>
        <v>96.16889009292315</v>
      </c>
      <c r="G68" s="53">
        <f>IF(ISERROR(G67/(G53*G52*G50)),0,G67/(G53*G52*G50))</f>
        <v>65.09920464111283</v>
      </c>
      <c r="H68" s="20"/>
    </row>
    <row r="69" spans="2:7" ht="12.75">
      <c r="B69" s="25" t="s">
        <v>71</v>
      </c>
      <c r="E69" s="31">
        <f>IF(ISERROR((E67+E46)/(E50*E51*E53)),0,E67/(E50*E51*E53))</f>
        <v>4.096245797319334</v>
      </c>
      <c r="F69" s="31">
        <f>IF(ISERROR((F67+F46)/(F50*F51*F53)),0,F67/(F50*F51*F53))</f>
        <v>11.219703844174369</v>
      </c>
      <c r="G69" s="31">
        <f>IF(ISERROR((G67+G46)/(G50*G51*G53)),0,G67/(G50*G51*G53))</f>
        <v>13.019840928222568</v>
      </c>
    </row>
    <row r="70" spans="2:7" ht="12.75">
      <c r="B70" s="25" t="s">
        <v>72</v>
      </c>
      <c r="E70" s="51">
        <f>IF(ISERROR(E67/(E52*E51*E50)),0,E67/(E52*E51*E50))</f>
        <v>0.5851779710456191</v>
      </c>
      <c r="F70" s="51">
        <f>IF(ISERROR(F67/(F52*F51*F50)),0,F67/(F52*F51*F50))</f>
        <v>1.6028148348820526</v>
      </c>
      <c r="G70" s="51">
        <f>IF(ISERROR(G67/(G52*G51*G50)),0,G67/(G52*G51*G50))</f>
        <v>1.0849867440185472</v>
      </c>
    </row>
  </sheetData>
  <sheetProtection sheet="1" objects="1" scenarios="1" formatCells="0" formatColumns="0" formatRows="0" insertColumns="0" insertRows="0" insertHyperlinks="0" deleteColumns="0" deleteRows="0"/>
  <protectedRanges>
    <protectedRange sqref="A1:H2" name="Title"/>
    <protectedRange sqref="A6:H20" name="Breakdown by Facility"/>
    <protectedRange sqref="D22:D23 D25 D27:D28" name="Construction Percentages"/>
    <protectedRange sqref="E41:G44 D39 D45 E34:G37" name="Operating Costs"/>
    <protectedRange sqref="E50:G53" name="Revenue"/>
  </protectedRanges>
  <mergeCells count="3">
    <mergeCell ref="E5:H5"/>
    <mergeCell ref="A1:H1"/>
    <mergeCell ref="A2:H2"/>
  </mergeCells>
  <printOptions/>
  <pageMargins left="0.75" right="0.75" top="1" bottom="1" header="0.5" footer="0.5"/>
  <pageSetup firstPageNumber="22" useFirstPageNumber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V70"/>
  <sheetViews>
    <sheetView workbookViewId="0" topLeftCell="A1">
      <selection activeCell="A1" sqref="A1:G1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14.8515625" style="0" customWidth="1"/>
    <col min="4" max="4" width="5.421875" style="0" customWidth="1"/>
    <col min="5" max="5" width="16.8515625" style="0" bestFit="1" customWidth="1"/>
    <col min="6" max="6" width="11.57421875" style="0" bestFit="1" customWidth="1"/>
    <col min="7" max="7" width="12.00390625" style="0" bestFit="1" customWidth="1"/>
  </cols>
  <sheetData>
    <row r="1" spans="1:7" ht="15.75">
      <c r="A1" s="108" t="s">
        <v>165</v>
      </c>
      <c r="B1" s="108"/>
      <c r="C1" s="108"/>
      <c r="D1" s="108"/>
      <c r="E1" s="108"/>
      <c r="F1" s="108"/>
      <c r="G1" s="108"/>
    </row>
    <row r="2" spans="1:7" ht="15">
      <c r="A2" s="109" t="s">
        <v>38</v>
      </c>
      <c r="B2" s="109"/>
      <c r="C2" s="109"/>
      <c r="D2" s="109"/>
      <c r="E2" s="109"/>
      <c r="F2" s="109"/>
      <c r="G2" s="109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7" t="s">
        <v>78</v>
      </c>
      <c r="D4" s="3">
        <v>0.028</v>
      </c>
      <c r="E4" s="1"/>
    </row>
    <row r="5" spans="1:7" ht="13.5" thickBot="1">
      <c r="A5" s="26" t="s">
        <v>4</v>
      </c>
      <c r="B5" s="26" t="s">
        <v>59</v>
      </c>
      <c r="C5" s="56" t="s">
        <v>0</v>
      </c>
      <c r="D5" s="29">
        <v>30</v>
      </c>
      <c r="E5" s="107" t="s">
        <v>56</v>
      </c>
      <c r="F5" s="107"/>
      <c r="G5" s="107"/>
    </row>
    <row r="6" spans="1:7" ht="12.75">
      <c r="A6" s="1"/>
      <c r="B6" s="2" t="s">
        <v>1</v>
      </c>
      <c r="C6" s="2" t="s">
        <v>3</v>
      </c>
      <c r="D6" s="2" t="s">
        <v>2</v>
      </c>
      <c r="E6" s="23" t="s">
        <v>67</v>
      </c>
      <c r="F6" s="45" t="s">
        <v>35</v>
      </c>
      <c r="G6" s="46" t="s">
        <v>42</v>
      </c>
    </row>
    <row r="7" spans="1:7" ht="12.75">
      <c r="A7" s="1">
        <v>1</v>
      </c>
      <c r="B7" s="7" t="s">
        <v>82</v>
      </c>
      <c r="C7" s="13">
        <v>0.32</v>
      </c>
      <c r="D7" s="7" t="s">
        <v>76</v>
      </c>
      <c r="E7" s="21">
        <v>9600</v>
      </c>
      <c r="F7" s="22">
        <v>9600</v>
      </c>
      <c r="G7" s="35">
        <f aca="true" t="shared" si="0" ref="G7:G20">SUM(E7:F7)*C7</f>
        <v>6144</v>
      </c>
    </row>
    <row r="8" spans="1:7" ht="12.75">
      <c r="A8" s="1">
        <v>2</v>
      </c>
      <c r="B8" s="7" t="s">
        <v>83</v>
      </c>
      <c r="C8" s="13">
        <v>0.32</v>
      </c>
      <c r="D8" s="7" t="s">
        <v>76</v>
      </c>
      <c r="E8" s="21">
        <v>9000</v>
      </c>
      <c r="F8" s="22"/>
      <c r="G8" s="36">
        <f t="shared" si="0"/>
        <v>2880</v>
      </c>
    </row>
    <row r="9" spans="1:7" ht="12.75">
      <c r="A9" s="1">
        <v>3</v>
      </c>
      <c r="B9" s="7" t="s">
        <v>19</v>
      </c>
      <c r="C9" s="13">
        <v>14.5</v>
      </c>
      <c r="D9" s="7" t="s">
        <v>23</v>
      </c>
      <c r="E9" s="21"/>
      <c r="F9" s="22"/>
      <c r="G9" s="36">
        <f t="shared" si="0"/>
        <v>0</v>
      </c>
    </row>
    <row r="10" spans="1:7" ht="12.75">
      <c r="A10" s="9">
        <v>4</v>
      </c>
      <c r="B10" s="7" t="s">
        <v>20</v>
      </c>
      <c r="C10" s="13">
        <v>11400</v>
      </c>
      <c r="D10" s="7" t="s">
        <v>5</v>
      </c>
      <c r="E10" s="21"/>
      <c r="F10" s="22"/>
      <c r="G10" s="36">
        <f t="shared" si="0"/>
        <v>0</v>
      </c>
    </row>
    <row r="11" spans="1:7" ht="12.75">
      <c r="A11" s="1">
        <v>5</v>
      </c>
      <c r="B11" s="7" t="s">
        <v>21</v>
      </c>
      <c r="C11" s="13">
        <v>8000</v>
      </c>
      <c r="D11" s="7" t="s">
        <v>6</v>
      </c>
      <c r="E11" s="21"/>
      <c r="F11" s="22"/>
      <c r="G11" s="36">
        <f t="shared" si="0"/>
        <v>0</v>
      </c>
    </row>
    <row r="12" spans="1:7" ht="12.75">
      <c r="A12" s="9">
        <v>6</v>
      </c>
      <c r="B12" s="7" t="s">
        <v>84</v>
      </c>
      <c r="C12" s="13">
        <v>40000</v>
      </c>
      <c r="D12" s="7" t="s">
        <v>6</v>
      </c>
      <c r="E12" s="21"/>
      <c r="F12" s="22">
        <v>3</v>
      </c>
      <c r="G12" s="36">
        <f t="shared" si="0"/>
        <v>120000</v>
      </c>
    </row>
    <row r="13" spans="1:7" ht="12.75">
      <c r="A13" s="10">
        <v>7</v>
      </c>
      <c r="B13" s="7" t="s">
        <v>85</v>
      </c>
      <c r="C13" s="13">
        <v>20000</v>
      </c>
      <c r="D13" s="7" t="s">
        <v>6</v>
      </c>
      <c r="E13" s="21"/>
      <c r="F13" s="22"/>
      <c r="G13" s="36">
        <f t="shared" si="0"/>
        <v>0</v>
      </c>
    </row>
    <row r="14" spans="1:7" ht="12.75">
      <c r="A14" s="1">
        <v>8</v>
      </c>
      <c r="B14" s="7" t="s">
        <v>86</v>
      </c>
      <c r="C14" s="13">
        <v>2500</v>
      </c>
      <c r="D14" s="7" t="s">
        <v>6</v>
      </c>
      <c r="E14" s="21"/>
      <c r="F14" s="22">
        <v>50</v>
      </c>
      <c r="G14" s="36">
        <f t="shared" si="0"/>
        <v>125000</v>
      </c>
    </row>
    <row r="15" spans="1:7" ht="12.75">
      <c r="A15" s="1">
        <v>9</v>
      </c>
      <c r="B15" s="7" t="s">
        <v>88</v>
      </c>
      <c r="C15" s="13">
        <v>1500</v>
      </c>
      <c r="D15" s="7" t="s">
        <v>6</v>
      </c>
      <c r="E15" s="21"/>
      <c r="F15" s="22"/>
      <c r="G15" s="36">
        <f t="shared" si="0"/>
        <v>0</v>
      </c>
    </row>
    <row r="16" spans="1:7" ht="12.75">
      <c r="A16" s="1">
        <v>10</v>
      </c>
      <c r="B16" s="7" t="s">
        <v>89</v>
      </c>
      <c r="C16" s="13">
        <v>25000</v>
      </c>
      <c r="D16" s="7" t="s">
        <v>6</v>
      </c>
      <c r="E16" s="21"/>
      <c r="F16" s="22"/>
      <c r="G16" s="36">
        <f t="shared" si="0"/>
        <v>0</v>
      </c>
    </row>
    <row r="17" spans="1:7" ht="12.75">
      <c r="A17" s="9">
        <v>11</v>
      </c>
      <c r="B17" s="7" t="s">
        <v>26</v>
      </c>
      <c r="C17" s="13">
        <v>27000</v>
      </c>
      <c r="D17" s="7" t="s">
        <v>5</v>
      </c>
      <c r="E17" s="21">
        <v>1</v>
      </c>
      <c r="F17" s="22"/>
      <c r="G17" s="36">
        <f t="shared" si="0"/>
        <v>27000</v>
      </c>
    </row>
    <row r="18" spans="1:230" ht="12.75">
      <c r="A18" s="10">
        <v>12</v>
      </c>
      <c r="B18" s="7" t="s">
        <v>36</v>
      </c>
      <c r="C18" s="13">
        <v>2.04</v>
      </c>
      <c r="D18" s="7" t="s">
        <v>75</v>
      </c>
      <c r="E18" s="21"/>
      <c r="F18" s="22"/>
      <c r="G18" s="36">
        <f t="shared" si="0"/>
        <v>0</v>
      </c>
      <c r="H18" s="4"/>
      <c r="I18" s="6"/>
      <c r="J18" s="4"/>
      <c r="K18" s="10"/>
      <c r="L18" s="7"/>
      <c r="M18" s="7"/>
      <c r="N18" s="14"/>
      <c r="O18" s="13"/>
      <c r="P18" s="4"/>
      <c r="Q18" s="6"/>
      <c r="R18" s="4"/>
      <c r="S18" s="10"/>
      <c r="T18" s="7"/>
      <c r="U18" s="7"/>
      <c r="V18" s="14"/>
      <c r="W18" s="13"/>
      <c r="X18" s="4"/>
      <c r="Y18" s="6"/>
      <c r="Z18" s="4"/>
      <c r="AA18" s="10"/>
      <c r="AB18" s="7"/>
      <c r="AC18" s="7"/>
      <c r="AD18" s="14"/>
      <c r="AE18" s="13"/>
      <c r="AF18" s="4"/>
      <c r="AG18" s="6"/>
      <c r="AH18" s="4"/>
      <c r="AI18" s="10"/>
      <c r="AJ18" s="7"/>
      <c r="AK18" s="7"/>
      <c r="AL18" s="14"/>
      <c r="AM18" s="13"/>
      <c r="AN18" s="4"/>
      <c r="AO18" s="6"/>
      <c r="AP18" s="4"/>
      <c r="AQ18" s="10"/>
      <c r="AR18" s="7"/>
      <c r="AS18" s="7"/>
      <c r="AT18" s="14"/>
      <c r="AU18" s="13"/>
      <c r="AV18" s="4"/>
      <c r="AW18" s="6"/>
      <c r="AX18" s="4"/>
      <c r="AY18" s="10"/>
      <c r="AZ18" s="7"/>
      <c r="BA18" s="7"/>
      <c r="BB18" s="14"/>
      <c r="BC18" s="13"/>
      <c r="BD18" s="4"/>
      <c r="BE18" s="6"/>
      <c r="BF18" s="4"/>
      <c r="BG18" s="10"/>
      <c r="BH18" s="7"/>
      <c r="BI18" s="7"/>
      <c r="BJ18" s="14"/>
      <c r="BK18" s="13"/>
      <c r="BL18" s="4"/>
      <c r="BM18" s="6"/>
      <c r="BN18" s="4"/>
      <c r="BO18" s="10"/>
      <c r="BP18" s="7"/>
      <c r="BQ18" s="7"/>
      <c r="BR18" s="14"/>
      <c r="BS18" s="13"/>
      <c r="BT18" s="4"/>
      <c r="BU18" s="6"/>
      <c r="BV18" s="4"/>
      <c r="BW18" s="10"/>
      <c r="BX18" s="7"/>
      <c r="BY18" s="7"/>
      <c r="BZ18" s="14"/>
      <c r="CA18" s="13"/>
      <c r="CB18" s="4"/>
      <c r="CC18" s="6"/>
      <c r="CD18" s="4"/>
      <c r="CE18" s="10"/>
      <c r="CF18" s="7"/>
      <c r="CG18" s="7"/>
      <c r="CH18" s="14"/>
      <c r="CI18" s="13"/>
      <c r="CJ18" s="4"/>
      <c r="CK18" s="6"/>
      <c r="CL18" s="4"/>
      <c r="CM18" s="10"/>
      <c r="CN18" s="7"/>
      <c r="CO18" s="7"/>
      <c r="CP18" s="14"/>
      <c r="CQ18" s="13"/>
      <c r="CR18" s="4"/>
      <c r="CS18" s="6"/>
      <c r="CT18" s="4"/>
      <c r="CU18" s="10"/>
      <c r="CV18" s="7"/>
      <c r="CW18" s="7"/>
      <c r="CX18" s="14"/>
      <c r="CY18" s="13"/>
      <c r="CZ18" s="4"/>
      <c r="DA18" s="6"/>
      <c r="DB18" s="4"/>
      <c r="DC18" s="10"/>
      <c r="DD18" s="7"/>
      <c r="DE18" s="7"/>
      <c r="DF18" s="14"/>
      <c r="DG18" s="13"/>
      <c r="DH18" s="4"/>
      <c r="DI18" s="6"/>
      <c r="DJ18" s="4"/>
      <c r="DK18" s="10"/>
      <c r="DL18" s="7"/>
      <c r="DM18" s="7"/>
      <c r="DN18" s="14"/>
      <c r="DO18" s="13"/>
      <c r="DP18" s="4"/>
      <c r="DQ18" s="6"/>
      <c r="DR18" s="4"/>
      <c r="DS18" s="10"/>
      <c r="DT18" s="7"/>
      <c r="DU18" s="7"/>
      <c r="DV18" s="14"/>
      <c r="DW18" s="13"/>
      <c r="DX18" s="4"/>
      <c r="DY18" s="6"/>
      <c r="DZ18" s="4"/>
      <c r="EA18" s="10"/>
      <c r="EB18" s="7"/>
      <c r="EC18" s="7"/>
      <c r="ED18" s="14"/>
      <c r="EE18" s="13"/>
      <c r="EF18" s="4"/>
      <c r="EG18" s="6"/>
      <c r="EH18" s="4"/>
      <c r="EI18" s="10"/>
      <c r="EJ18" s="7"/>
      <c r="EK18" s="7"/>
      <c r="EL18" s="14"/>
      <c r="EM18" s="13"/>
      <c r="EN18" s="4"/>
      <c r="EO18" s="6"/>
      <c r="EP18" s="4"/>
      <c r="EQ18" s="10"/>
      <c r="ER18" s="7"/>
      <c r="ES18" s="7"/>
      <c r="ET18" s="14"/>
      <c r="EU18" s="13"/>
      <c r="EV18" s="4"/>
      <c r="EW18" s="6"/>
      <c r="EX18" s="4"/>
      <c r="EY18" s="10"/>
      <c r="EZ18" s="7"/>
      <c r="FA18" s="7"/>
      <c r="FB18" s="14"/>
      <c r="FC18" s="13"/>
      <c r="FD18" s="4"/>
      <c r="FE18" s="6"/>
      <c r="FF18" s="4"/>
      <c r="FG18" s="10"/>
      <c r="FH18" s="7"/>
      <c r="FI18" s="7"/>
      <c r="FJ18" s="14"/>
      <c r="FK18" s="13"/>
      <c r="FL18" s="4"/>
      <c r="FM18" s="6"/>
      <c r="FN18" s="4"/>
      <c r="FO18" s="10"/>
      <c r="FP18" s="7"/>
      <c r="FQ18" s="7"/>
      <c r="FR18" s="14"/>
      <c r="FS18" s="13"/>
      <c r="FT18" s="4"/>
      <c r="FU18" s="6"/>
      <c r="FV18" s="4"/>
      <c r="FW18" s="10"/>
      <c r="FX18" s="7"/>
      <c r="FY18" s="7"/>
      <c r="FZ18" s="14"/>
      <c r="GA18" s="13"/>
      <c r="GB18" s="4"/>
      <c r="GC18" s="6"/>
      <c r="GD18" s="4"/>
      <c r="GE18" s="10"/>
      <c r="GF18" s="7"/>
      <c r="GG18" s="7"/>
      <c r="GH18" s="14"/>
      <c r="GI18" s="13"/>
      <c r="GJ18" s="4"/>
      <c r="GK18" s="6"/>
      <c r="GL18" s="4"/>
      <c r="GM18" s="10"/>
      <c r="GN18" s="7"/>
      <c r="GO18" s="7"/>
      <c r="GP18" s="14"/>
      <c r="GQ18" s="13"/>
      <c r="GR18" s="4"/>
      <c r="GS18" s="6"/>
      <c r="GT18" s="4"/>
      <c r="GU18" s="10"/>
      <c r="GV18" s="7"/>
      <c r="GW18" s="7"/>
      <c r="GX18" s="14"/>
      <c r="GY18" s="13"/>
      <c r="GZ18" s="4"/>
      <c r="HA18" s="6"/>
      <c r="HB18" s="4"/>
      <c r="HC18" s="10"/>
      <c r="HD18" s="7"/>
      <c r="HE18" s="7"/>
      <c r="HF18" s="14"/>
      <c r="HG18" s="13"/>
      <c r="HH18" s="4"/>
      <c r="HI18" s="6"/>
      <c r="HJ18" s="4"/>
      <c r="HK18" s="10"/>
      <c r="HL18" s="7"/>
      <c r="HM18" s="7"/>
      <c r="HN18" s="14"/>
      <c r="HO18" s="13"/>
      <c r="HP18" s="4"/>
      <c r="HQ18" s="6"/>
      <c r="HR18" s="4"/>
      <c r="HS18" s="10"/>
      <c r="HT18" s="7"/>
      <c r="HU18" s="7"/>
      <c r="HV18" s="14"/>
    </row>
    <row r="19" spans="1:230" ht="12.75">
      <c r="A19" s="10">
        <v>13</v>
      </c>
      <c r="B19" s="7" t="s">
        <v>39</v>
      </c>
      <c r="C19" s="13">
        <v>25</v>
      </c>
      <c r="D19" s="7" t="s">
        <v>77</v>
      </c>
      <c r="E19" s="21"/>
      <c r="F19" s="22"/>
      <c r="G19" s="36">
        <f t="shared" si="0"/>
        <v>0</v>
      </c>
      <c r="H19" s="4"/>
      <c r="I19" s="6"/>
      <c r="J19" s="4"/>
      <c r="K19" s="10"/>
      <c r="L19" s="7"/>
      <c r="M19" s="7"/>
      <c r="N19" s="14"/>
      <c r="O19" s="13"/>
      <c r="P19" s="4"/>
      <c r="Q19" s="6"/>
      <c r="R19" s="4"/>
      <c r="S19" s="10"/>
      <c r="T19" s="7"/>
      <c r="U19" s="7"/>
      <c r="V19" s="14"/>
      <c r="W19" s="13"/>
      <c r="X19" s="4"/>
      <c r="Y19" s="6"/>
      <c r="Z19" s="4"/>
      <c r="AA19" s="10"/>
      <c r="AB19" s="7"/>
      <c r="AC19" s="7"/>
      <c r="AD19" s="14"/>
      <c r="AE19" s="13"/>
      <c r="AF19" s="4"/>
      <c r="AG19" s="6"/>
      <c r="AH19" s="4"/>
      <c r="AI19" s="10"/>
      <c r="AJ19" s="7"/>
      <c r="AK19" s="7"/>
      <c r="AL19" s="14"/>
      <c r="AM19" s="13"/>
      <c r="AN19" s="4"/>
      <c r="AO19" s="6"/>
      <c r="AP19" s="4"/>
      <c r="AQ19" s="10"/>
      <c r="AR19" s="7"/>
      <c r="AS19" s="7"/>
      <c r="AT19" s="14"/>
      <c r="AU19" s="13"/>
      <c r="AV19" s="4"/>
      <c r="AW19" s="6"/>
      <c r="AX19" s="4"/>
      <c r="AY19" s="10"/>
      <c r="AZ19" s="7"/>
      <c r="BA19" s="7"/>
      <c r="BB19" s="14"/>
      <c r="BC19" s="13"/>
      <c r="BD19" s="4"/>
      <c r="BE19" s="6"/>
      <c r="BF19" s="4"/>
      <c r="BG19" s="10"/>
      <c r="BH19" s="7"/>
      <c r="BI19" s="7"/>
      <c r="BJ19" s="14"/>
      <c r="BK19" s="13"/>
      <c r="BL19" s="4"/>
      <c r="BM19" s="6"/>
      <c r="BN19" s="4"/>
      <c r="BO19" s="10"/>
      <c r="BP19" s="7"/>
      <c r="BQ19" s="7"/>
      <c r="BR19" s="14"/>
      <c r="BS19" s="13"/>
      <c r="BT19" s="4"/>
      <c r="BU19" s="6"/>
      <c r="BV19" s="4"/>
      <c r="BW19" s="10"/>
      <c r="BX19" s="7"/>
      <c r="BY19" s="7"/>
      <c r="BZ19" s="14"/>
      <c r="CA19" s="13"/>
      <c r="CB19" s="4"/>
      <c r="CC19" s="6"/>
      <c r="CD19" s="4"/>
      <c r="CE19" s="10"/>
      <c r="CF19" s="7"/>
      <c r="CG19" s="7"/>
      <c r="CH19" s="14"/>
      <c r="CI19" s="13"/>
      <c r="CJ19" s="4"/>
      <c r="CK19" s="6"/>
      <c r="CL19" s="4"/>
      <c r="CM19" s="10"/>
      <c r="CN19" s="7"/>
      <c r="CO19" s="7"/>
      <c r="CP19" s="14"/>
      <c r="CQ19" s="13"/>
      <c r="CR19" s="4"/>
      <c r="CS19" s="6"/>
      <c r="CT19" s="4"/>
      <c r="CU19" s="10"/>
      <c r="CV19" s="7"/>
      <c r="CW19" s="7"/>
      <c r="CX19" s="14"/>
      <c r="CY19" s="13"/>
      <c r="CZ19" s="4"/>
      <c r="DA19" s="6"/>
      <c r="DB19" s="4"/>
      <c r="DC19" s="10"/>
      <c r="DD19" s="7"/>
      <c r="DE19" s="7"/>
      <c r="DF19" s="14"/>
      <c r="DG19" s="13"/>
      <c r="DH19" s="4"/>
      <c r="DI19" s="6"/>
      <c r="DJ19" s="4"/>
      <c r="DK19" s="10"/>
      <c r="DL19" s="7"/>
      <c r="DM19" s="7"/>
      <c r="DN19" s="14"/>
      <c r="DO19" s="13"/>
      <c r="DP19" s="4"/>
      <c r="DQ19" s="6"/>
      <c r="DR19" s="4"/>
      <c r="DS19" s="10"/>
      <c r="DT19" s="7"/>
      <c r="DU19" s="7"/>
      <c r="DV19" s="14"/>
      <c r="DW19" s="13"/>
      <c r="DX19" s="4"/>
      <c r="DY19" s="6"/>
      <c r="DZ19" s="4"/>
      <c r="EA19" s="10"/>
      <c r="EB19" s="7"/>
      <c r="EC19" s="7"/>
      <c r="ED19" s="14"/>
      <c r="EE19" s="13"/>
      <c r="EF19" s="4"/>
      <c r="EG19" s="6"/>
      <c r="EH19" s="4"/>
      <c r="EI19" s="10"/>
      <c r="EJ19" s="7"/>
      <c r="EK19" s="7"/>
      <c r="EL19" s="14"/>
      <c r="EM19" s="13"/>
      <c r="EN19" s="4"/>
      <c r="EO19" s="6"/>
      <c r="EP19" s="4"/>
      <c r="EQ19" s="10"/>
      <c r="ER19" s="7"/>
      <c r="ES19" s="7"/>
      <c r="ET19" s="14"/>
      <c r="EU19" s="13"/>
      <c r="EV19" s="4"/>
      <c r="EW19" s="6"/>
      <c r="EX19" s="4"/>
      <c r="EY19" s="10"/>
      <c r="EZ19" s="7"/>
      <c r="FA19" s="7"/>
      <c r="FB19" s="14"/>
      <c r="FC19" s="13"/>
      <c r="FD19" s="4"/>
      <c r="FE19" s="6"/>
      <c r="FF19" s="4"/>
      <c r="FG19" s="10"/>
      <c r="FH19" s="7"/>
      <c r="FI19" s="7"/>
      <c r="FJ19" s="14"/>
      <c r="FK19" s="13"/>
      <c r="FL19" s="4"/>
      <c r="FM19" s="6"/>
      <c r="FN19" s="4"/>
      <c r="FO19" s="10"/>
      <c r="FP19" s="7"/>
      <c r="FQ19" s="7"/>
      <c r="FR19" s="14"/>
      <c r="FS19" s="13"/>
      <c r="FT19" s="4"/>
      <c r="FU19" s="6"/>
      <c r="FV19" s="4"/>
      <c r="FW19" s="10"/>
      <c r="FX19" s="7"/>
      <c r="FY19" s="7"/>
      <c r="FZ19" s="14"/>
      <c r="GA19" s="13"/>
      <c r="GB19" s="4"/>
      <c r="GC19" s="6"/>
      <c r="GD19" s="4"/>
      <c r="GE19" s="10"/>
      <c r="GF19" s="7"/>
      <c r="GG19" s="7"/>
      <c r="GH19" s="14"/>
      <c r="GI19" s="13"/>
      <c r="GJ19" s="4"/>
      <c r="GK19" s="6"/>
      <c r="GL19" s="4"/>
      <c r="GM19" s="10"/>
      <c r="GN19" s="7"/>
      <c r="GO19" s="7"/>
      <c r="GP19" s="14"/>
      <c r="GQ19" s="13"/>
      <c r="GR19" s="4"/>
      <c r="GS19" s="6"/>
      <c r="GT19" s="4"/>
      <c r="GU19" s="10"/>
      <c r="GV19" s="7"/>
      <c r="GW19" s="7"/>
      <c r="GX19" s="14"/>
      <c r="GY19" s="13"/>
      <c r="GZ19" s="4"/>
      <c r="HA19" s="6"/>
      <c r="HB19" s="4"/>
      <c r="HC19" s="10"/>
      <c r="HD19" s="7"/>
      <c r="HE19" s="7"/>
      <c r="HF19" s="14"/>
      <c r="HG19" s="13"/>
      <c r="HH19" s="4"/>
      <c r="HI19" s="6"/>
      <c r="HJ19" s="4"/>
      <c r="HK19" s="10"/>
      <c r="HL19" s="7"/>
      <c r="HM19" s="7"/>
      <c r="HN19" s="14"/>
      <c r="HO19" s="13"/>
      <c r="HP19" s="4"/>
      <c r="HQ19" s="6"/>
      <c r="HR19" s="4"/>
      <c r="HS19" s="10"/>
      <c r="HT19" s="7"/>
      <c r="HU19" s="7"/>
      <c r="HV19" s="14"/>
    </row>
    <row r="20" spans="1:7" ht="12.75">
      <c r="A20" s="9"/>
      <c r="B20" s="7"/>
      <c r="C20" s="4"/>
      <c r="D20" s="7"/>
      <c r="E20" s="1"/>
      <c r="F20" s="8"/>
      <c r="G20" s="36">
        <f t="shared" si="0"/>
        <v>0</v>
      </c>
    </row>
    <row r="21" spans="1:7" ht="12.75">
      <c r="A21" s="9"/>
      <c r="B21" s="7"/>
      <c r="C21" s="19" t="s">
        <v>7</v>
      </c>
      <c r="D21" s="7"/>
      <c r="E21" s="59">
        <f>SUMPRODUCT($C$7:$C$19,E7:E19)</f>
        <v>32952</v>
      </c>
      <c r="F21" s="59">
        <f>SUMPRODUCT($C$7:$C$19,F7:F19)</f>
        <v>248072</v>
      </c>
      <c r="G21" s="59">
        <f aca="true" t="shared" si="1" ref="G21:G28">SUM(E21:F21)</f>
        <v>281024</v>
      </c>
    </row>
    <row r="22" spans="1:7" ht="12.75">
      <c r="A22" s="9"/>
      <c r="C22" s="54" t="s">
        <v>11</v>
      </c>
      <c r="D22" s="11">
        <v>0.05</v>
      </c>
      <c r="E22" s="36">
        <f>$D$22*E21</f>
        <v>1647.6000000000001</v>
      </c>
      <c r="F22" s="36">
        <f>$D$22*F21</f>
        <v>12403.6</v>
      </c>
      <c r="G22" s="36">
        <f t="shared" si="1"/>
        <v>14051.2</v>
      </c>
    </row>
    <row r="23" spans="1:7" ht="12.75">
      <c r="A23" s="9"/>
      <c r="C23" s="54" t="s">
        <v>12</v>
      </c>
      <c r="D23" s="11">
        <v>0.1</v>
      </c>
      <c r="E23" s="36">
        <f>E21*$D$23</f>
        <v>3295.2000000000003</v>
      </c>
      <c r="F23" s="36">
        <f>F21*$D$23</f>
        <v>24807.2</v>
      </c>
      <c r="G23" s="36">
        <f t="shared" si="1"/>
        <v>28102.4</v>
      </c>
    </row>
    <row r="24" spans="1:7" ht="12.75">
      <c r="A24" s="9"/>
      <c r="B24" s="54"/>
      <c r="C24" s="18" t="s">
        <v>13</v>
      </c>
      <c r="D24" s="11"/>
      <c r="E24" s="59">
        <f>SUM(E21:E23)</f>
        <v>37894.799999999996</v>
      </c>
      <c r="F24" s="59">
        <f>SUM(F21:F23)</f>
        <v>285282.8</v>
      </c>
      <c r="G24" s="59">
        <f t="shared" si="1"/>
        <v>323177.6</v>
      </c>
    </row>
    <row r="25" spans="1:7" ht="12.75">
      <c r="A25" s="9"/>
      <c r="C25" s="54" t="s">
        <v>14</v>
      </c>
      <c r="D25" s="11">
        <v>0.2</v>
      </c>
      <c r="E25" s="36">
        <f>$D$25*E$24</f>
        <v>7578.959999999999</v>
      </c>
      <c r="F25" s="36">
        <f>$D$25*F$24</f>
        <v>57056.56</v>
      </c>
      <c r="G25" s="36">
        <f t="shared" si="1"/>
        <v>64635.52</v>
      </c>
    </row>
    <row r="26" spans="1:7" ht="12.75">
      <c r="A26" s="1"/>
      <c r="B26" s="55"/>
      <c r="C26" s="19" t="s">
        <v>15</v>
      </c>
      <c r="D26" s="1"/>
      <c r="E26" s="59">
        <f>ROUND(SUM(E24:E25),-2)</f>
        <v>45500</v>
      </c>
      <c r="F26" s="59">
        <f>ROUND(SUM(F24:F25),-2)</f>
        <v>342300</v>
      </c>
      <c r="G26" s="59">
        <f t="shared" si="1"/>
        <v>387800</v>
      </c>
    </row>
    <row r="27" spans="1:7" ht="12.75">
      <c r="A27" s="1"/>
      <c r="C27" s="54" t="s">
        <v>30</v>
      </c>
      <c r="D27" s="11">
        <v>0.06</v>
      </c>
      <c r="E27" s="36">
        <f>$D$27*E$26</f>
        <v>2730</v>
      </c>
      <c r="F27" s="36">
        <f>$D$27*F$26</f>
        <v>20538</v>
      </c>
      <c r="G27" s="36">
        <f t="shared" si="1"/>
        <v>23268</v>
      </c>
    </row>
    <row r="28" spans="1:7" ht="12.75">
      <c r="A28" s="1"/>
      <c r="C28" s="54" t="s">
        <v>31</v>
      </c>
      <c r="D28" s="11">
        <v>0.06</v>
      </c>
      <c r="E28" s="36">
        <f>$D$28*E$26</f>
        <v>2730</v>
      </c>
      <c r="F28" s="36">
        <f>$D$28*F$26</f>
        <v>20538</v>
      </c>
      <c r="G28" s="36">
        <f t="shared" si="1"/>
        <v>23268</v>
      </c>
    </row>
    <row r="29" spans="1:7" ht="12.75">
      <c r="A29" s="1"/>
      <c r="B29" s="1"/>
      <c r="C29" s="5"/>
      <c r="D29" s="1"/>
      <c r="E29" s="1"/>
      <c r="F29" s="1"/>
      <c r="G29" s="4"/>
    </row>
    <row r="30" spans="1:7" ht="13.5" thickBot="1">
      <c r="A30" s="1"/>
      <c r="B30" s="1"/>
      <c r="C30" s="19" t="s">
        <v>8</v>
      </c>
      <c r="D30" s="1"/>
      <c r="E30" s="57">
        <f>ROUND(SUM(E26:E29),-3)</f>
        <v>51000</v>
      </c>
      <c r="F30" s="57">
        <f>ROUND(SUM(F26:F29),-3)</f>
        <v>383000</v>
      </c>
      <c r="G30" s="57">
        <f>SUM(E30:F30)</f>
        <v>434000</v>
      </c>
    </row>
    <row r="31" spans="1:7" ht="13.5" thickTop="1">
      <c r="A31" s="1"/>
      <c r="B31" s="1"/>
      <c r="C31" s="19"/>
      <c r="D31" s="1"/>
      <c r="E31" s="15"/>
      <c r="F31" s="15"/>
      <c r="G31" s="15"/>
    </row>
    <row r="32" spans="1:7" ht="12.75">
      <c r="A32" s="1"/>
      <c r="B32" s="1"/>
      <c r="C32" s="4"/>
      <c r="D32" s="1"/>
      <c r="E32" s="1"/>
      <c r="G32" s="4"/>
    </row>
    <row r="33" spans="1:7" ht="13.5" thickBot="1">
      <c r="A33" s="26" t="s">
        <v>9</v>
      </c>
      <c r="B33" s="27" t="s">
        <v>57</v>
      </c>
      <c r="C33" s="28"/>
      <c r="D33" s="29"/>
      <c r="E33" s="44" t="str">
        <f>E6</f>
        <v>BOAT RAMP/PARKING</v>
      </c>
      <c r="F33" s="44" t="str">
        <f>F6</f>
        <v>CAMPGROUND</v>
      </c>
      <c r="G33" s="44" t="str">
        <f>G6</f>
        <v>TOTAL</v>
      </c>
    </row>
    <row r="34" spans="1:7" ht="12.75">
      <c r="A34" s="16"/>
      <c r="B34" s="25" t="s">
        <v>62</v>
      </c>
      <c r="C34" s="4"/>
      <c r="D34" s="1"/>
      <c r="E34" s="7">
        <v>1</v>
      </c>
      <c r="F34" s="7">
        <v>50</v>
      </c>
      <c r="G34" s="4"/>
    </row>
    <row r="35" spans="1:7" ht="12.75">
      <c r="A35" s="16"/>
      <c r="B35" s="25" t="s">
        <v>63</v>
      </c>
      <c r="C35" s="4"/>
      <c r="D35" s="1"/>
      <c r="E35" s="7">
        <v>60</v>
      </c>
      <c r="F35" s="7">
        <v>60</v>
      </c>
      <c r="G35" s="12"/>
    </row>
    <row r="36" spans="2:7" ht="12.75">
      <c r="B36" s="25" t="s">
        <v>43</v>
      </c>
      <c r="C36" s="8"/>
      <c r="D36" s="8"/>
      <c r="E36" s="8">
        <v>50</v>
      </c>
      <c r="F36" s="8">
        <f>F34*F35*0.25</f>
        <v>750</v>
      </c>
      <c r="G36" s="8"/>
    </row>
    <row r="37" spans="2:7" ht="12.75">
      <c r="B37" s="25" t="s">
        <v>44</v>
      </c>
      <c r="C37" s="8"/>
      <c r="D37" s="8"/>
      <c r="E37" s="43">
        <v>15</v>
      </c>
      <c r="F37" s="43">
        <v>15</v>
      </c>
      <c r="G37" s="43"/>
    </row>
    <row r="38" spans="2:7" ht="12.75">
      <c r="B38" s="25" t="s">
        <v>45</v>
      </c>
      <c r="C38" s="8"/>
      <c r="D38" s="8"/>
      <c r="E38" s="37">
        <f>E36*E37</f>
        <v>750</v>
      </c>
      <c r="F38" s="37">
        <f>F36*F37</f>
        <v>11250</v>
      </c>
      <c r="G38" s="37">
        <f>SUM(E38:F38)</f>
        <v>12000</v>
      </c>
    </row>
    <row r="39" spans="2:7" ht="12.75">
      <c r="B39" s="25" t="s">
        <v>46</v>
      </c>
      <c r="C39" s="8"/>
      <c r="D39" s="33">
        <v>0.075</v>
      </c>
      <c r="E39" s="38">
        <f>ROUND(E38*$D$39,-2)</f>
        <v>100</v>
      </c>
      <c r="F39" s="38">
        <f>ROUND(F38*$D$39,-2)</f>
        <v>800</v>
      </c>
      <c r="G39" s="38">
        <f>SUM(D39:F39)</f>
        <v>900.075</v>
      </c>
    </row>
    <row r="40" spans="2:7" ht="12.75">
      <c r="B40" s="25" t="s">
        <v>47</v>
      </c>
      <c r="C40" s="8"/>
      <c r="D40" s="8"/>
      <c r="E40" s="42">
        <f>SUM(E38:E39)</f>
        <v>850</v>
      </c>
      <c r="F40" s="42">
        <f>SUM(F38:F39)</f>
        <v>12050</v>
      </c>
      <c r="G40" s="42">
        <f aca="true" t="shared" si="2" ref="G40:G46">SUM(E40:F40)</f>
        <v>12900</v>
      </c>
    </row>
    <row r="41" spans="2:7" ht="12.75">
      <c r="B41" s="25" t="s">
        <v>48</v>
      </c>
      <c r="C41" s="8"/>
      <c r="D41" s="8"/>
      <c r="E41" s="39">
        <v>200</v>
      </c>
      <c r="F41" s="39">
        <v>500</v>
      </c>
      <c r="G41" s="39">
        <f t="shared" si="2"/>
        <v>700</v>
      </c>
    </row>
    <row r="42" spans="2:7" ht="12.75">
      <c r="B42" s="25" t="s">
        <v>49</v>
      </c>
      <c r="C42" s="8"/>
      <c r="D42" s="8"/>
      <c r="E42" s="39"/>
      <c r="F42" s="39"/>
      <c r="G42" s="39">
        <f t="shared" si="2"/>
        <v>0</v>
      </c>
    </row>
    <row r="43" spans="2:7" ht="12.75">
      <c r="B43" s="25" t="s">
        <v>160</v>
      </c>
      <c r="C43" s="8"/>
      <c r="D43" s="8"/>
      <c r="E43" s="39"/>
      <c r="F43" s="39"/>
      <c r="G43" s="39"/>
    </row>
    <row r="44" spans="2:7" ht="12.75">
      <c r="B44" s="25" t="s">
        <v>50</v>
      </c>
      <c r="C44" s="8"/>
      <c r="D44" s="8"/>
      <c r="E44" s="40">
        <v>250</v>
      </c>
      <c r="F44" s="40">
        <v>250</v>
      </c>
      <c r="G44" s="39">
        <f t="shared" si="2"/>
        <v>500</v>
      </c>
    </row>
    <row r="45" spans="2:7" ht="12.75">
      <c r="B45" s="25" t="s">
        <v>61</v>
      </c>
      <c r="C45" s="8"/>
      <c r="D45" s="33">
        <v>0.2</v>
      </c>
      <c r="E45" s="41">
        <f>ROUND(SUM(E40:E44)*$D$45,-2)</f>
        <v>300</v>
      </c>
      <c r="F45" s="41">
        <f>ROUND(SUM(F40:F44)*$D$45,-2)</f>
        <v>2600</v>
      </c>
      <c r="G45" s="41">
        <f t="shared" si="2"/>
        <v>2900</v>
      </c>
    </row>
    <row r="46" spans="2:7" ht="13.5" thickBot="1">
      <c r="B46" s="34" t="s">
        <v>51</v>
      </c>
      <c r="C46" s="8"/>
      <c r="D46" s="8"/>
      <c r="E46" s="58">
        <f>SUM(E40:E45)</f>
        <v>1600</v>
      </c>
      <c r="F46" s="58">
        <f>SUM(F40:F45)</f>
        <v>15400</v>
      </c>
      <c r="G46" s="58">
        <f t="shared" si="2"/>
        <v>17000</v>
      </c>
    </row>
    <row r="47" spans="2:7" ht="13.5" thickTop="1">
      <c r="B47" s="7"/>
      <c r="C47" s="8"/>
      <c r="D47" s="8"/>
      <c r="E47" s="8"/>
      <c r="F47" s="8"/>
      <c r="G47" s="12"/>
    </row>
    <row r="48" spans="2:7" ht="12.75">
      <c r="B48" s="7"/>
      <c r="C48" s="8"/>
      <c r="D48" s="8"/>
      <c r="E48" s="8"/>
      <c r="F48" s="8"/>
      <c r="G48" s="12"/>
    </row>
    <row r="49" spans="1:7" ht="13.5" thickBot="1">
      <c r="A49" s="26" t="s">
        <v>10</v>
      </c>
      <c r="B49" s="27" t="s">
        <v>58</v>
      </c>
      <c r="C49" s="30"/>
      <c r="D49" s="30"/>
      <c r="E49" s="44" t="str">
        <f>E33</f>
        <v>BOAT RAMP/PARKING</v>
      </c>
      <c r="F49" s="44" t="str">
        <f>F33</f>
        <v>CAMPGROUND</v>
      </c>
      <c r="G49" s="47" t="str">
        <f>G33</f>
        <v>TOTAL</v>
      </c>
    </row>
    <row r="50" spans="1:7" ht="12.75">
      <c r="A50" s="16"/>
      <c r="B50" s="25" t="s">
        <v>62</v>
      </c>
      <c r="C50" s="7"/>
      <c r="D50" s="7"/>
      <c r="E50" s="7">
        <v>15</v>
      </c>
      <c r="F50" s="7">
        <v>50</v>
      </c>
      <c r="G50" s="12"/>
    </row>
    <row r="51" spans="1:7" ht="12.75">
      <c r="A51" s="16"/>
      <c r="B51" s="25" t="s">
        <v>64</v>
      </c>
      <c r="C51" s="7"/>
      <c r="D51" s="7"/>
      <c r="E51" s="7">
        <v>60</v>
      </c>
      <c r="F51" s="7">
        <v>60</v>
      </c>
      <c r="G51" s="12"/>
    </row>
    <row r="52" spans="2:7" ht="12.75">
      <c r="B52" s="25" t="s">
        <v>65</v>
      </c>
      <c r="C52" s="8"/>
      <c r="D52" s="8"/>
      <c r="E52" s="31">
        <v>7</v>
      </c>
      <c r="F52" s="31">
        <v>12</v>
      </c>
      <c r="G52" s="12"/>
    </row>
    <row r="53" spans="2:7" ht="12.75">
      <c r="B53" s="25" t="s">
        <v>66</v>
      </c>
      <c r="C53" s="8"/>
      <c r="D53" s="8"/>
      <c r="E53" s="24">
        <v>1</v>
      </c>
      <c r="F53" s="24">
        <v>1</v>
      </c>
      <c r="G53" s="24"/>
    </row>
    <row r="54" spans="2:7" ht="13.5" thickBot="1">
      <c r="B54" s="34" t="s">
        <v>52</v>
      </c>
      <c r="C54" s="8"/>
      <c r="D54" s="8"/>
      <c r="E54" s="49">
        <f>E50*E51*E52*E53</f>
        <v>6300</v>
      </c>
      <c r="F54" s="49">
        <f>F50*F51*F52*F53</f>
        <v>36000</v>
      </c>
      <c r="G54" s="49">
        <f>SUM(E54:F54)</f>
        <v>42300</v>
      </c>
    </row>
    <row r="55" spans="2:7" ht="13.5" thickTop="1">
      <c r="B55" s="25"/>
      <c r="C55" s="8"/>
      <c r="D55" s="8"/>
      <c r="E55" s="8"/>
      <c r="F55" s="8"/>
      <c r="G55" s="8"/>
    </row>
    <row r="56" spans="2:7" ht="12.75">
      <c r="B56" s="25"/>
      <c r="C56" s="8"/>
      <c r="D56" s="8"/>
      <c r="E56" s="8"/>
      <c r="F56" s="8"/>
      <c r="G56" s="8"/>
    </row>
    <row r="57" spans="1:7" ht="13.5" thickBot="1">
      <c r="A57" s="26" t="s">
        <v>69</v>
      </c>
      <c r="B57" s="27" t="s">
        <v>68</v>
      </c>
      <c r="C57" s="30"/>
      <c r="D57" s="30"/>
      <c r="E57" s="44" t="str">
        <f>E49</f>
        <v>BOAT RAMP/PARKING</v>
      </c>
      <c r="F57" s="44" t="str">
        <f>F49</f>
        <v>CAMPGROUND</v>
      </c>
      <c r="G57" s="47" t="str">
        <f>G49</f>
        <v>TOTAL</v>
      </c>
    </row>
    <row r="58" spans="2:7" ht="12.75">
      <c r="B58" s="25" t="s">
        <v>53</v>
      </c>
      <c r="C58" s="8"/>
      <c r="D58" s="8"/>
      <c r="E58" s="48">
        <f>E54-E46</f>
        <v>4700</v>
      </c>
      <c r="F58" s="48">
        <f>F54-F46</f>
        <v>20600</v>
      </c>
      <c r="G58" s="48">
        <f>G54-G46</f>
        <v>25300</v>
      </c>
    </row>
    <row r="59" spans="2:7" ht="12.75">
      <c r="B59" s="25" t="s">
        <v>54</v>
      </c>
      <c r="C59" s="8"/>
      <c r="D59" s="8"/>
      <c r="E59" s="50">
        <f>E30</f>
        <v>51000</v>
      </c>
      <c r="F59" s="50">
        <f>F30</f>
        <v>383000</v>
      </c>
      <c r="G59" s="50">
        <f>G30</f>
        <v>434000</v>
      </c>
    </row>
    <row r="60" spans="2:7" ht="12.75">
      <c r="B60" s="25" t="s">
        <v>55</v>
      </c>
      <c r="C60" s="8"/>
      <c r="D60" s="8"/>
      <c r="E60" s="20">
        <f>IF(ISERROR(E59/E58),0,E59/E58)</f>
        <v>10.851063829787234</v>
      </c>
      <c r="F60" s="20">
        <f>IF(ISERROR(F59/F58),0,F59/F58)</f>
        <v>18.59223300970874</v>
      </c>
      <c r="G60" s="20">
        <f>IF(ISERROR(G59/G58),0,G59/G58)</f>
        <v>17.154150197628457</v>
      </c>
    </row>
    <row r="61" spans="2:7" ht="12.75">
      <c r="B61" s="25" t="s">
        <v>80</v>
      </c>
      <c r="C61" s="8"/>
      <c r="D61" s="8"/>
      <c r="E61" s="32">
        <f>IF(ISERROR(E58/E59),0,E58/E59)</f>
        <v>0.09215686274509804</v>
      </c>
      <c r="F61" s="32">
        <f>IF(ISERROR(F58/F59),0,F58/F59)</f>
        <v>0.05378590078328982</v>
      </c>
      <c r="G61" s="32">
        <f>IF(ISERROR(G58/G59),0,G58/G59)</f>
        <v>0.05829493087557604</v>
      </c>
    </row>
    <row r="62" spans="2:7" ht="12.75">
      <c r="B62" s="25" t="s">
        <v>81</v>
      </c>
      <c r="C62" s="8"/>
      <c r="D62" s="8"/>
      <c r="E62" s="32">
        <f>IF(ISERROR(RATE($D$5,E58,-E59)),E61,RATE($D$5,E58,-E59))</f>
        <v>0.0839482143492799</v>
      </c>
      <c r="F62" s="32">
        <f>IF(ISERROR(RATE($D$5,F58,-F59)),F61,RATE($D$5,F58,-F59))</f>
        <v>0.03413827507758779</v>
      </c>
      <c r="G62" s="32">
        <f>IF(ISERROR(RATE($D$5,G58,-G59)),G61,RATE($D$5,G58,-G59))</f>
        <v>0.04066072890010512</v>
      </c>
    </row>
    <row r="63" spans="2:7" ht="12.75">
      <c r="B63" s="25" t="s">
        <v>79</v>
      </c>
      <c r="C63" s="8"/>
      <c r="D63" s="8"/>
      <c r="E63" s="60">
        <f>ROUND(PV($D$4,$D$5,-E58)-E59,-3)</f>
        <v>44000</v>
      </c>
      <c r="F63" s="60">
        <f>ROUND(PV($D$4,$D$5,-F58)-F59,-3)</f>
        <v>31000</v>
      </c>
      <c r="G63" s="60">
        <f>ROUND(PV($D$4,$D$5,-G58)-G59,-3)</f>
        <v>75000</v>
      </c>
    </row>
    <row r="64" spans="3:7" ht="12.75">
      <c r="C64" s="8"/>
      <c r="D64" s="8"/>
      <c r="E64" s="52"/>
      <c r="F64" s="8"/>
      <c r="G64" s="8"/>
    </row>
    <row r="65" spans="3:7" ht="12.75">
      <c r="C65" s="8"/>
      <c r="D65" s="8"/>
      <c r="E65" s="52"/>
      <c r="F65" s="8"/>
      <c r="G65" s="8"/>
    </row>
    <row r="66" spans="1:7" ht="13.5" thickBot="1">
      <c r="A66" s="26" t="s">
        <v>70</v>
      </c>
      <c r="B66" s="27" t="s">
        <v>60</v>
      </c>
      <c r="C66" s="30"/>
      <c r="D66" s="30"/>
      <c r="E66" s="44" t="str">
        <f>E57</f>
        <v>BOAT RAMP/PARKING</v>
      </c>
      <c r="F66" s="44" t="str">
        <f>F57</f>
        <v>CAMPGROUND</v>
      </c>
      <c r="G66" s="47" t="str">
        <f>G57</f>
        <v>TOTAL</v>
      </c>
    </row>
    <row r="67" spans="2:7" ht="12.75">
      <c r="B67" s="25" t="s">
        <v>74</v>
      </c>
      <c r="C67" s="8"/>
      <c r="D67" s="8"/>
      <c r="E67" s="48">
        <f>PMT($D$4,$D$5,-E30)+E46</f>
        <v>4135.16700210777</v>
      </c>
      <c r="F67" s="48">
        <f>PMT($D$4,$D$5,-F30)+F46</f>
        <v>34438.60709426031</v>
      </c>
      <c r="G67" s="48">
        <f>PMT($D$4,$D$5,-G30)+G46</f>
        <v>38573.774096368084</v>
      </c>
    </row>
    <row r="68" spans="2:7" ht="12.75">
      <c r="B68" s="25" t="s">
        <v>73</v>
      </c>
      <c r="E68" s="53">
        <f>IF(ISERROR(E67/(E53*E52*E50)),0,E67/(E53*E52*E50))</f>
        <v>39.382542877216856</v>
      </c>
      <c r="F68" s="53">
        <f>IF(ISERROR(F67/(F53*F52*F50)),0,F67/(F53*F52*F50))</f>
        <v>57.397678490433854</v>
      </c>
      <c r="G68" s="20"/>
    </row>
    <row r="69" spans="2:6" ht="12.75">
      <c r="B69" s="25" t="s">
        <v>71</v>
      </c>
      <c r="E69" s="31">
        <f>IF(ISERROR((E67+E46)/(E50*E51*E53)),0,E67/(E50*E51*E53))</f>
        <v>4.594630002341966</v>
      </c>
      <c r="F69" s="31">
        <f>IF(ISERROR((F67+F46)/(F50*F51*F53)),0,F67/(F50*F51*F53))</f>
        <v>11.47953569808677</v>
      </c>
    </row>
    <row r="70" spans="2:6" ht="12.75">
      <c r="B70" s="25" t="s">
        <v>72</v>
      </c>
      <c r="E70" s="51">
        <f>IF(ISERROR(E67/(E52*E51*E50)),0,E67/(E52*E51*E50))</f>
        <v>0.6563757146202809</v>
      </c>
      <c r="F70" s="51">
        <f>IF(ISERROR(F67/(F52*F51*F50)),0,F67/(F52*F51*F50))</f>
        <v>0.9566279748405642</v>
      </c>
    </row>
  </sheetData>
  <sheetProtection sheet="1" objects="1" scenarios="1" formatCells="0" formatColumns="0" formatRows="0" insertColumns="0" insertRows="0" insertHyperlinks="0" deleteColumns="0" deleteRows="0"/>
  <protectedRanges>
    <protectedRange sqref="A1:G2" name="Title"/>
    <protectedRange sqref="A6:G20" name="Breakdown by Facility"/>
    <protectedRange sqref="D22:D23 D25 D27:D28" name="Construction Percentages"/>
    <protectedRange sqref="D39 D45 E34:F37 E41:F44" name="Operating Costs"/>
    <protectedRange sqref="E50:F53" name="Revenue"/>
  </protectedRanges>
  <mergeCells count="3">
    <mergeCell ref="E5:G5"/>
    <mergeCell ref="A1:G1"/>
    <mergeCell ref="A2:G2"/>
  </mergeCells>
  <printOptions/>
  <pageMargins left="0.75" right="0.75" top="1" bottom="1" header="0.5" footer="0.5"/>
  <pageSetup firstPageNumber="22" useFirstPageNumber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W70"/>
  <sheetViews>
    <sheetView workbookViewId="0" topLeftCell="A1">
      <selection activeCell="A1" sqref="A1:H1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14.8515625" style="0" customWidth="1"/>
    <col min="4" max="4" width="5.421875" style="0" customWidth="1"/>
    <col min="5" max="5" width="16.8515625" style="0" bestFit="1" customWidth="1"/>
    <col min="6" max="6" width="12.8515625" style="0" bestFit="1" customWidth="1"/>
    <col min="7" max="7" width="11.57421875" style="0" bestFit="1" customWidth="1"/>
    <col min="8" max="8" width="12.00390625" style="0" bestFit="1" customWidth="1"/>
  </cols>
  <sheetData>
    <row r="1" spans="1:8" ht="15.75">
      <c r="A1" s="108" t="s">
        <v>166</v>
      </c>
      <c r="B1" s="108"/>
      <c r="C1" s="108"/>
      <c r="D1" s="108"/>
      <c r="E1" s="108"/>
      <c r="F1" s="108"/>
      <c r="G1" s="108"/>
      <c r="H1" s="108"/>
    </row>
    <row r="2" spans="1:8" ht="15">
      <c r="A2" s="109" t="s">
        <v>38</v>
      </c>
      <c r="B2" s="109"/>
      <c r="C2" s="109"/>
      <c r="D2" s="109"/>
      <c r="E2" s="109"/>
      <c r="F2" s="109"/>
      <c r="G2" s="109"/>
      <c r="H2" s="109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7" t="s">
        <v>78</v>
      </c>
      <c r="D4" s="3">
        <v>0.028</v>
      </c>
      <c r="E4" s="1"/>
    </row>
    <row r="5" spans="1:8" ht="13.5" thickBot="1">
      <c r="A5" s="26" t="s">
        <v>4</v>
      </c>
      <c r="B5" s="26" t="s">
        <v>59</v>
      </c>
      <c r="C5" s="56" t="s">
        <v>0</v>
      </c>
      <c r="D5" s="29">
        <v>30</v>
      </c>
      <c r="E5" s="107" t="s">
        <v>56</v>
      </c>
      <c r="F5" s="107"/>
      <c r="G5" s="107"/>
      <c r="H5" s="107"/>
    </row>
    <row r="6" spans="1:8" ht="12.75">
      <c r="A6" s="1"/>
      <c r="B6" s="2" t="s">
        <v>1</v>
      </c>
      <c r="C6" s="2" t="s">
        <v>3</v>
      </c>
      <c r="D6" s="2" t="s">
        <v>2</v>
      </c>
      <c r="E6" s="23" t="s">
        <v>67</v>
      </c>
      <c r="F6" s="45" t="s">
        <v>37</v>
      </c>
      <c r="G6" s="45" t="s">
        <v>35</v>
      </c>
      <c r="H6" s="46" t="s">
        <v>42</v>
      </c>
    </row>
    <row r="7" spans="1:8" ht="12.75">
      <c r="A7" s="1">
        <v>1</v>
      </c>
      <c r="B7" s="7" t="s">
        <v>82</v>
      </c>
      <c r="C7" s="13">
        <v>0.32</v>
      </c>
      <c r="D7" s="7" t="s">
        <v>76</v>
      </c>
      <c r="E7" s="21"/>
      <c r="F7" s="22">
        <v>3000</v>
      </c>
      <c r="G7" s="22">
        <v>25000</v>
      </c>
      <c r="H7" s="35">
        <f aca="true" t="shared" si="0" ref="H7:H20">SUM(E7:G7)*C7</f>
        <v>8960</v>
      </c>
    </row>
    <row r="8" spans="1:8" ht="12.75">
      <c r="A8" s="1">
        <v>2</v>
      </c>
      <c r="B8" s="7" t="s">
        <v>83</v>
      </c>
      <c r="C8" s="13">
        <v>0.32</v>
      </c>
      <c r="D8" s="7" t="s">
        <v>76</v>
      </c>
      <c r="E8" s="21">
        <v>9000</v>
      </c>
      <c r="F8" s="22"/>
      <c r="G8" s="22"/>
      <c r="H8" s="36">
        <f t="shared" si="0"/>
        <v>2880</v>
      </c>
    </row>
    <row r="9" spans="1:8" ht="12.75">
      <c r="A9" s="1">
        <v>3</v>
      </c>
      <c r="B9" s="7" t="s">
        <v>19</v>
      </c>
      <c r="C9" s="13">
        <v>14.5</v>
      </c>
      <c r="D9" s="7" t="s">
        <v>23</v>
      </c>
      <c r="E9" s="21"/>
      <c r="F9" s="22"/>
      <c r="G9" s="22">
        <v>3000</v>
      </c>
      <c r="H9" s="36">
        <f t="shared" si="0"/>
        <v>43500</v>
      </c>
    </row>
    <row r="10" spans="1:8" ht="12.75">
      <c r="A10" s="9">
        <v>4</v>
      </c>
      <c r="B10" s="7" t="s">
        <v>20</v>
      </c>
      <c r="C10" s="13">
        <v>11400</v>
      </c>
      <c r="D10" s="7" t="s">
        <v>5</v>
      </c>
      <c r="E10" s="21"/>
      <c r="F10" s="22"/>
      <c r="G10" s="22"/>
      <c r="H10" s="36">
        <f t="shared" si="0"/>
        <v>0</v>
      </c>
    </row>
    <row r="11" spans="1:8" ht="12.75">
      <c r="A11" s="1">
        <v>5</v>
      </c>
      <c r="B11" s="7" t="s">
        <v>21</v>
      </c>
      <c r="C11" s="13">
        <v>8000</v>
      </c>
      <c r="D11" s="7" t="s">
        <v>6</v>
      </c>
      <c r="E11" s="21"/>
      <c r="F11" s="22"/>
      <c r="G11" s="22"/>
      <c r="H11" s="36">
        <f t="shared" si="0"/>
        <v>0</v>
      </c>
    </row>
    <row r="12" spans="1:8" ht="12.75">
      <c r="A12" s="9">
        <v>6</v>
      </c>
      <c r="B12" s="7" t="s">
        <v>84</v>
      </c>
      <c r="C12" s="13">
        <v>40000</v>
      </c>
      <c r="D12" s="7" t="s">
        <v>6</v>
      </c>
      <c r="E12" s="21"/>
      <c r="F12" s="22"/>
      <c r="G12" s="22">
        <v>1</v>
      </c>
      <c r="H12" s="36">
        <f t="shared" si="0"/>
        <v>40000</v>
      </c>
    </row>
    <row r="13" spans="1:8" ht="12.75">
      <c r="A13" s="10">
        <v>7</v>
      </c>
      <c r="B13" s="7" t="s">
        <v>85</v>
      </c>
      <c r="C13" s="13">
        <v>20000</v>
      </c>
      <c r="D13" s="7" t="s">
        <v>6</v>
      </c>
      <c r="E13" s="21"/>
      <c r="F13" s="22"/>
      <c r="G13" s="22"/>
      <c r="H13" s="36">
        <f t="shared" si="0"/>
        <v>0</v>
      </c>
    </row>
    <row r="14" spans="1:8" ht="12.75">
      <c r="A14" s="1">
        <v>8</v>
      </c>
      <c r="B14" s="7" t="s">
        <v>86</v>
      </c>
      <c r="C14" s="13">
        <v>2000</v>
      </c>
      <c r="D14" s="7" t="s">
        <v>6</v>
      </c>
      <c r="E14" s="21"/>
      <c r="F14" s="22"/>
      <c r="G14" s="22">
        <v>25</v>
      </c>
      <c r="H14" s="36">
        <f t="shared" si="0"/>
        <v>50000</v>
      </c>
    </row>
    <row r="15" spans="1:8" ht="12.75">
      <c r="A15" s="1">
        <v>9</v>
      </c>
      <c r="B15" s="7" t="s">
        <v>88</v>
      </c>
      <c r="C15" s="13">
        <v>1500</v>
      </c>
      <c r="D15" s="7" t="s">
        <v>6</v>
      </c>
      <c r="E15" s="21"/>
      <c r="F15" s="22">
        <v>5</v>
      </c>
      <c r="G15" s="22"/>
      <c r="H15" s="36">
        <f t="shared" si="0"/>
        <v>7500</v>
      </c>
    </row>
    <row r="16" spans="1:8" ht="12.75">
      <c r="A16" s="1">
        <v>10</v>
      </c>
      <c r="B16" s="7" t="s">
        <v>27</v>
      </c>
      <c r="C16" s="13">
        <v>50000</v>
      </c>
      <c r="D16" s="7" t="s">
        <v>6</v>
      </c>
      <c r="E16" s="21"/>
      <c r="F16" s="22"/>
      <c r="G16" s="22"/>
      <c r="H16" s="36">
        <f t="shared" si="0"/>
        <v>0</v>
      </c>
    </row>
    <row r="17" spans="1:8" ht="12.75">
      <c r="A17" s="9">
        <v>11</v>
      </c>
      <c r="B17" s="7" t="s">
        <v>26</v>
      </c>
      <c r="C17" s="13">
        <v>27000</v>
      </c>
      <c r="D17" s="7" t="s">
        <v>5</v>
      </c>
      <c r="E17" s="21">
        <v>1</v>
      </c>
      <c r="F17" s="22"/>
      <c r="G17" s="22"/>
      <c r="H17" s="36">
        <f t="shared" si="0"/>
        <v>27000</v>
      </c>
    </row>
    <row r="18" spans="1:231" ht="12.75">
      <c r="A18" s="10">
        <v>12</v>
      </c>
      <c r="B18" s="7" t="s">
        <v>36</v>
      </c>
      <c r="C18" s="13">
        <v>2.04</v>
      </c>
      <c r="D18" s="7" t="s">
        <v>75</v>
      </c>
      <c r="E18" s="21"/>
      <c r="F18" s="22"/>
      <c r="G18" s="22"/>
      <c r="H18" s="36">
        <f t="shared" si="0"/>
        <v>0</v>
      </c>
      <c r="I18" s="4"/>
      <c r="J18" s="6"/>
      <c r="K18" s="4"/>
      <c r="L18" s="10"/>
      <c r="M18" s="7"/>
      <c r="N18" s="7"/>
      <c r="O18" s="14"/>
      <c r="P18" s="13"/>
      <c r="Q18" s="4"/>
      <c r="R18" s="6"/>
      <c r="S18" s="4"/>
      <c r="T18" s="10"/>
      <c r="U18" s="7"/>
      <c r="V18" s="7"/>
      <c r="W18" s="14"/>
      <c r="X18" s="13"/>
      <c r="Y18" s="4"/>
      <c r="Z18" s="6"/>
      <c r="AA18" s="4"/>
      <c r="AB18" s="10"/>
      <c r="AC18" s="7"/>
      <c r="AD18" s="7"/>
      <c r="AE18" s="14"/>
      <c r="AF18" s="13"/>
      <c r="AG18" s="4"/>
      <c r="AH18" s="6"/>
      <c r="AI18" s="4"/>
      <c r="AJ18" s="10"/>
      <c r="AK18" s="7"/>
      <c r="AL18" s="7"/>
      <c r="AM18" s="14"/>
      <c r="AN18" s="13"/>
      <c r="AO18" s="4"/>
      <c r="AP18" s="6"/>
      <c r="AQ18" s="4"/>
      <c r="AR18" s="10"/>
      <c r="AS18" s="7"/>
      <c r="AT18" s="7"/>
      <c r="AU18" s="14"/>
      <c r="AV18" s="13"/>
      <c r="AW18" s="4"/>
      <c r="AX18" s="6"/>
      <c r="AY18" s="4"/>
      <c r="AZ18" s="10"/>
      <c r="BA18" s="7"/>
      <c r="BB18" s="7"/>
      <c r="BC18" s="14"/>
      <c r="BD18" s="13"/>
      <c r="BE18" s="4"/>
      <c r="BF18" s="6"/>
      <c r="BG18" s="4"/>
      <c r="BH18" s="10"/>
      <c r="BI18" s="7"/>
      <c r="BJ18" s="7"/>
      <c r="BK18" s="14"/>
      <c r="BL18" s="13"/>
      <c r="BM18" s="4"/>
      <c r="BN18" s="6"/>
      <c r="BO18" s="4"/>
      <c r="BP18" s="10"/>
      <c r="BQ18" s="7"/>
      <c r="BR18" s="7"/>
      <c r="BS18" s="14"/>
      <c r="BT18" s="13"/>
      <c r="BU18" s="4"/>
      <c r="BV18" s="6"/>
      <c r="BW18" s="4"/>
      <c r="BX18" s="10"/>
      <c r="BY18" s="7"/>
      <c r="BZ18" s="7"/>
      <c r="CA18" s="14"/>
      <c r="CB18" s="13"/>
      <c r="CC18" s="4"/>
      <c r="CD18" s="6"/>
      <c r="CE18" s="4"/>
      <c r="CF18" s="10"/>
      <c r="CG18" s="7"/>
      <c r="CH18" s="7"/>
      <c r="CI18" s="14"/>
      <c r="CJ18" s="13"/>
      <c r="CK18" s="4"/>
      <c r="CL18" s="6"/>
      <c r="CM18" s="4"/>
      <c r="CN18" s="10"/>
      <c r="CO18" s="7"/>
      <c r="CP18" s="7"/>
      <c r="CQ18" s="14"/>
      <c r="CR18" s="13"/>
      <c r="CS18" s="4"/>
      <c r="CT18" s="6"/>
      <c r="CU18" s="4"/>
      <c r="CV18" s="10"/>
      <c r="CW18" s="7"/>
      <c r="CX18" s="7"/>
      <c r="CY18" s="14"/>
      <c r="CZ18" s="13"/>
      <c r="DA18" s="4"/>
      <c r="DB18" s="6"/>
      <c r="DC18" s="4"/>
      <c r="DD18" s="10"/>
      <c r="DE18" s="7"/>
      <c r="DF18" s="7"/>
      <c r="DG18" s="14"/>
      <c r="DH18" s="13"/>
      <c r="DI18" s="4"/>
      <c r="DJ18" s="6"/>
      <c r="DK18" s="4"/>
      <c r="DL18" s="10"/>
      <c r="DM18" s="7"/>
      <c r="DN18" s="7"/>
      <c r="DO18" s="14"/>
      <c r="DP18" s="13"/>
      <c r="DQ18" s="4"/>
      <c r="DR18" s="6"/>
      <c r="DS18" s="4"/>
      <c r="DT18" s="10"/>
      <c r="DU18" s="7"/>
      <c r="DV18" s="7"/>
      <c r="DW18" s="14"/>
      <c r="DX18" s="13"/>
      <c r="DY18" s="4"/>
      <c r="DZ18" s="6"/>
      <c r="EA18" s="4"/>
      <c r="EB18" s="10"/>
      <c r="EC18" s="7"/>
      <c r="ED18" s="7"/>
      <c r="EE18" s="14"/>
      <c r="EF18" s="13"/>
      <c r="EG18" s="4"/>
      <c r="EH18" s="6"/>
      <c r="EI18" s="4"/>
      <c r="EJ18" s="10"/>
      <c r="EK18" s="7"/>
      <c r="EL18" s="7"/>
      <c r="EM18" s="14"/>
      <c r="EN18" s="13"/>
      <c r="EO18" s="4"/>
      <c r="EP18" s="6"/>
      <c r="EQ18" s="4"/>
      <c r="ER18" s="10"/>
      <c r="ES18" s="7"/>
      <c r="ET18" s="7"/>
      <c r="EU18" s="14"/>
      <c r="EV18" s="13"/>
      <c r="EW18" s="4"/>
      <c r="EX18" s="6"/>
      <c r="EY18" s="4"/>
      <c r="EZ18" s="10"/>
      <c r="FA18" s="7"/>
      <c r="FB18" s="7"/>
      <c r="FC18" s="14"/>
      <c r="FD18" s="13"/>
      <c r="FE18" s="4"/>
      <c r="FF18" s="6"/>
      <c r="FG18" s="4"/>
      <c r="FH18" s="10"/>
      <c r="FI18" s="7"/>
      <c r="FJ18" s="7"/>
      <c r="FK18" s="14"/>
      <c r="FL18" s="13"/>
      <c r="FM18" s="4"/>
      <c r="FN18" s="6"/>
      <c r="FO18" s="4"/>
      <c r="FP18" s="10"/>
      <c r="FQ18" s="7"/>
      <c r="FR18" s="7"/>
      <c r="FS18" s="14"/>
      <c r="FT18" s="13"/>
      <c r="FU18" s="4"/>
      <c r="FV18" s="6"/>
      <c r="FW18" s="4"/>
      <c r="FX18" s="10"/>
      <c r="FY18" s="7"/>
      <c r="FZ18" s="7"/>
      <c r="GA18" s="14"/>
      <c r="GB18" s="13"/>
      <c r="GC18" s="4"/>
      <c r="GD18" s="6"/>
      <c r="GE18" s="4"/>
      <c r="GF18" s="10"/>
      <c r="GG18" s="7"/>
      <c r="GH18" s="7"/>
      <c r="GI18" s="14"/>
      <c r="GJ18" s="13"/>
      <c r="GK18" s="4"/>
      <c r="GL18" s="6"/>
      <c r="GM18" s="4"/>
      <c r="GN18" s="10"/>
      <c r="GO18" s="7"/>
      <c r="GP18" s="7"/>
      <c r="GQ18" s="14"/>
      <c r="GR18" s="13"/>
      <c r="GS18" s="4"/>
      <c r="GT18" s="6"/>
      <c r="GU18" s="4"/>
      <c r="GV18" s="10"/>
      <c r="GW18" s="7"/>
      <c r="GX18" s="7"/>
      <c r="GY18" s="14"/>
      <c r="GZ18" s="13"/>
      <c r="HA18" s="4"/>
      <c r="HB18" s="6"/>
      <c r="HC18" s="4"/>
      <c r="HD18" s="10"/>
      <c r="HE18" s="7"/>
      <c r="HF18" s="7"/>
      <c r="HG18" s="14"/>
      <c r="HH18" s="13"/>
      <c r="HI18" s="4"/>
      <c r="HJ18" s="6"/>
      <c r="HK18" s="4"/>
      <c r="HL18" s="10"/>
      <c r="HM18" s="7"/>
      <c r="HN18" s="7"/>
      <c r="HO18" s="14"/>
      <c r="HP18" s="13"/>
      <c r="HQ18" s="4"/>
      <c r="HR18" s="6"/>
      <c r="HS18" s="4"/>
      <c r="HT18" s="10"/>
      <c r="HU18" s="7"/>
      <c r="HV18" s="7"/>
      <c r="HW18" s="14"/>
    </row>
    <row r="19" spans="1:231" ht="12.75">
      <c r="A19" s="10">
        <v>13</v>
      </c>
      <c r="B19" s="7" t="s">
        <v>39</v>
      </c>
      <c r="C19" s="13">
        <v>25</v>
      </c>
      <c r="D19" s="7" t="s">
        <v>77</v>
      </c>
      <c r="E19" s="21"/>
      <c r="F19" s="22"/>
      <c r="G19" s="22"/>
      <c r="H19" s="36">
        <f t="shared" si="0"/>
        <v>0</v>
      </c>
      <c r="I19" s="4"/>
      <c r="J19" s="6"/>
      <c r="K19" s="4"/>
      <c r="L19" s="10"/>
      <c r="M19" s="7"/>
      <c r="N19" s="7"/>
      <c r="O19" s="14"/>
      <c r="P19" s="13"/>
      <c r="Q19" s="4"/>
      <c r="R19" s="6"/>
      <c r="S19" s="4"/>
      <c r="T19" s="10"/>
      <c r="U19" s="7"/>
      <c r="V19" s="7"/>
      <c r="W19" s="14"/>
      <c r="X19" s="13"/>
      <c r="Y19" s="4"/>
      <c r="Z19" s="6"/>
      <c r="AA19" s="4"/>
      <c r="AB19" s="10"/>
      <c r="AC19" s="7"/>
      <c r="AD19" s="7"/>
      <c r="AE19" s="14"/>
      <c r="AF19" s="13"/>
      <c r="AG19" s="4"/>
      <c r="AH19" s="6"/>
      <c r="AI19" s="4"/>
      <c r="AJ19" s="10"/>
      <c r="AK19" s="7"/>
      <c r="AL19" s="7"/>
      <c r="AM19" s="14"/>
      <c r="AN19" s="13"/>
      <c r="AO19" s="4"/>
      <c r="AP19" s="6"/>
      <c r="AQ19" s="4"/>
      <c r="AR19" s="10"/>
      <c r="AS19" s="7"/>
      <c r="AT19" s="7"/>
      <c r="AU19" s="14"/>
      <c r="AV19" s="13"/>
      <c r="AW19" s="4"/>
      <c r="AX19" s="6"/>
      <c r="AY19" s="4"/>
      <c r="AZ19" s="10"/>
      <c r="BA19" s="7"/>
      <c r="BB19" s="7"/>
      <c r="BC19" s="14"/>
      <c r="BD19" s="13"/>
      <c r="BE19" s="4"/>
      <c r="BF19" s="6"/>
      <c r="BG19" s="4"/>
      <c r="BH19" s="10"/>
      <c r="BI19" s="7"/>
      <c r="BJ19" s="7"/>
      <c r="BK19" s="14"/>
      <c r="BL19" s="13"/>
      <c r="BM19" s="4"/>
      <c r="BN19" s="6"/>
      <c r="BO19" s="4"/>
      <c r="BP19" s="10"/>
      <c r="BQ19" s="7"/>
      <c r="BR19" s="7"/>
      <c r="BS19" s="14"/>
      <c r="BT19" s="13"/>
      <c r="BU19" s="4"/>
      <c r="BV19" s="6"/>
      <c r="BW19" s="4"/>
      <c r="BX19" s="10"/>
      <c r="BY19" s="7"/>
      <c r="BZ19" s="7"/>
      <c r="CA19" s="14"/>
      <c r="CB19" s="13"/>
      <c r="CC19" s="4"/>
      <c r="CD19" s="6"/>
      <c r="CE19" s="4"/>
      <c r="CF19" s="10"/>
      <c r="CG19" s="7"/>
      <c r="CH19" s="7"/>
      <c r="CI19" s="14"/>
      <c r="CJ19" s="13"/>
      <c r="CK19" s="4"/>
      <c r="CL19" s="6"/>
      <c r="CM19" s="4"/>
      <c r="CN19" s="10"/>
      <c r="CO19" s="7"/>
      <c r="CP19" s="7"/>
      <c r="CQ19" s="14"/>
      <c r="CR19" s="13"/>
      <c r="CS19" s="4"/>
      <c r="CT19" s="6"/>
      <c r="CU19" s="4"/>
      <c r="CV19" s="10"/>
      <c r="CW19" s="7"/>
      <c r="CX19" s="7"/>
      <c r="CY19" s="14"/>
      <c r="CZ19" s="13"/>
      <c r="DA19" s="4"/>
      <c r="DB19" s="6"/>
      <c r="DC19" s="4"/>
      <c r="DD19" s="10"/>
      <c r="DE19" s="7"/>
      <c r="DF19" s="7"/>
      <c r="DG19" s="14"/>
      <c r="DH19" s="13"/>
      <c r="DI19" s="4"/>
      <c r="DJ19" s="6"/>
      <c r="DK19" s="4"/>
      <c r="DL19" s="10"/>
      <c r="DM19" s="7"/>
      <c r="DN19" s="7"/>
      <c r="DO19" s="14"/>
      <c r="DP19" s="13"/>
      <c r="DQ19" s="4"/>
      <c r="DR19" s="6"/>
      <c r="DS19" s="4"/>
      <c r="DT19" s="10"/>
      <c r="DU19" s="7"/>
      <c r="DV19" s="7"/>
      <c r="DW19" s="14"/>
      <c r="DX19" s="13"/>
      <c r="DY19" s="4"/>
      <c r="DZ19" s="6"/>
      <c r="EA19" s="4"/>
      <c r="EB19" s="10"/>
      <c r="EC19" s="7"/>
      <c r="ED19" s="7"/>
      <c r="EE19" s="14"/>
      <c r="EF19" s="13"/>
      <c r="EG19" s="4"/>
      <c r="EH19" s="6"/>
      <c r="EI19" s="4"/>
      <c r="EJ19" s="10"/>
      <c r="EK19" s="7"/>
      <c r="EL19" s="7"/>
      <c r="EM19" s="14"/>
      <c r="EN19" s="13"/>
      <c r="EO19" s="4"/>
      <c r="EP19" s="6"/>
      <c r="EQ19" s="4"/>
      <c r="ER19" s="10"/>
      <c r="ES19" s="7"/>
      <c r="ET19" s="7"/>
      <c r="EU19" s="14"/>
      <c r="EV19" s="13"/>
      <c r="EW19" s="4"/>
      <c r="EX19" s="6"/>
      <c r="EY19" s="4"/>
      <c r="EZ19" s="10"/>
      <c r="FA19" s="7"/>
      <c r="FB19" s="7"/>
      <c r="FC19" s="14"/>
      <c r="FD19" s="13"/>
      <c r="FE19" s="4"/>
      <c r="FF19" s="6"/>
      <c r="FG19" s="4"/>
      <c r="FH19" s="10"/>
      <c r="FI19" s="7"/>
      <c r="FJ19" s="7"/>
      <c r="FK19" s="14"/>
      <c r="FL19" s="13"/>
      <c r="FM19" s="4"/>
      <c r="FN19" s="6"/>
      <c r="FO19" s="4"/>
      <c r="FP19" s="10"/>
      <c r="FQ19" s="7"/>
      <c r="FR19" s="7"/>
      <c r="FS19" s="14"/>
      <c r="FT19" s="13"/>
      <c r="FU19" s="4"/>
      <c r="FV19" s="6"/>
      <c r="FW19" s="4"/>
      <c r="FX19" s="10"/>
      <c r="FY19" s="7"/>
      <c r="FZ19" s="7"/>
      <c r="GA19" s="14"/>
      <c r="GB19" s="13"/>
      <c r="GC19" s="4"/>
      <c r="GD19" s="6"/>
      <c r="GE19" s="4"/>
      <c r="GF19" s="10"/>
      <c r="GG19" s="7"/>
      <c r="GH19" s="7"/>
      <c r="GI19" s="14"/>
      <c r="GJ19" s="13"/>
      <c r="GK19" s="4"/>
      <c r="GL19" s="6"/>
      <c r="GM19" s="4"/>
      <c r="GN19" s="10"/>
      <c r="GO19" s="7"/>
      <c r="GP19" s="7"/>
      <c r="GQ19" s="14"/>
      <c r="GR19" s="13"/>
      <c r="GS19" s="4"/>
      <c r="GT19" s="6"/>
      <c r="GU19" s="4"/>
      <c r="GV19" s="10"/>
      <c r="GW19" s="7"/>
      <c r="GX19" s="7"/>
      <c r="GY19" s="14"/>
      <c r="GZ19" s="13"/>
      <c r="HA19" s="4"/>
      <c r="HB19" s="6"/>
      <c r="HC19" s="4"/>
      <c r="HD19" s="10"/>
      <c r="HE19" s="7"/>
      <c r="HF19" s="7"/>
      <c r="HG19" s="14"/>
      <c r="HH19" s="13"/>
      <c r="HI19" s="4"/>
      <c r="HJ19" s="6"/>
      <c r="HK19" s="4"/>
      <c r="HL19" s="10"/>
      <c r="HM19" s="7"/>
      <c r="HN19" s="7"/>
      <c r="HO19" s="14"/>
      <c r="HP19" s="13"/>
      <c r="HQ19" s="4"/>
      <c r="HR19" s="6"/>
      <c r="HS19" s="4"/>
      <c r="HT19" s="10"/>
      <c r="HU19" s="7"/>
      <c r="HV19" s="7"/>
      <c r="HW19" s="14"/>
    </row>
    <row r="20" spans="1:8" ht="12.75">
      <c r="A20" s="9"/>
      <c r="B20" s="7"/>
      <c r="C20" s="4"/>
      <c r="D20" s="7"/>
      <c r="E20" s="1"/>
      <c r="F20" s="8"/>
      <c r="G20" s="8"/>
      <c r="H20" s="36">
        <f t="shared" si="0"/>
        <v>0</v>
      </c>
    </row>
    <row r="21" spans="1:8" ht="12.75">
      <c r="A21" s="9"/>
      <c r="B21" s="7"/>
      <c r="C21" s="19" t="s">
        <v>7</v>
      </c>
      <c r="D21" s="7"/>
      <c r="E21" s="59">
        <f>SUMPRODUCT($C$7:$C$19,E7:E19)</f>
        <v>29880</v>
      </c>
      <c r="F21" s="59">
        <f>SUMPRODUCT($C$7:$C$19,F7:F19)</f>
        <v>8460</v>
      </c>
      <c r="G21" s="59">
        <f>SUMPRODUCT($C$7:$C$19,G7:G19)</f>
        <v>141500</v>
      </c>
      <c r="H21" s="59">
        <f aca="true" t="shared" si="1" ref="H21:H28">SUM(E21:G21)</f>
        <v>179840</v>
      </c>
    </row>
    <row r="22" spans="1:8" ht="12.75">
      <c r="A22" s="9"/>
      <c r="C22" s="54" t="s">
        <v>11</v>
      </c>
      <c r="D22" s="11">
        <v>0.05</v>
      </c>
      <c r="E22" s="36">
        <f>$D$22*E21</f>
        <v>1494</v>
      </c>
      <c r="F22" s="36">
        <f>$D$22*F21</f>
        <v>423</v>
      </c>
      <c r="G22" s="36">
        <f>$D$22*G21</f>
        <v>7075</v>
      </c>
      <c r="H22" s="36">
        <f t="shared" si="1"/>
        <v>8992</v>
      </c>
    </row>
    <row r="23" spans="1:8" ht="12.75">
      <c r="A23" s="9"/>
      <c r="C23" s="54" t="s">
        <v>12</v>
      </c>
      <c r="D23" s="11">
        <v>0.1</v>
      </c>
      <c r="E23" s="36">
        <f>E21*$D$23</f>
        <v>2988</v>
      </c>
      <c r="F23" s="36">
        <f>F21*$D$23</f>
        <v>846</v>
      </c>
      <c r="G23" s="36">
        <f>G21*$D$23</f>
        <v>14150</v>
      </c>
      <c r="H23" s="36">
        <f t="shared" si="1"/>
        <v>17984</v>
      </c>
    </row>
    <row r="24" spans="1:8" ht="12.75">
      <c r="A24" s="9"/>
      <c r="B24" s="54"/>
      <c r="C24" s="18" t="s">
        <v>13</v>
      </c>
      <c r="D24" s="11"/>
      <c r="E24" s="59">
        <f>SUM(E21:E23)</f>
        <v>34362</v>
      </c>
      <c r="F24" s="59">
        <f>SUM(F21:F23)</f>
        <v>9729</v>
      </c>
      <c r="G24" s="59">
        <f>SUM(G21:G23)</f>
        <v>162725</v>
      </c>
      <c r="H24" s="59">
        <f t="shared" si="1"/>
        <v>206816</v>
      </c>
    </row>
    <row r="25" spans="1:8" ht="12.75">
      <c r="A25" s="9"/>
      <c r="C25" s="54" t="s">
        <v>14</v>
      </c>
      <c r="D25" s="11">
        <v>0.2</v>
      </c>
      <c r="E25" s="36">
        <f>$D$25*E$24</f>
        <v>6872.400000000001</v>
      </c>
      <c r="F25" s="36">
        <f>$D$25*F$24</f>
        <v>1945.8000000000002</v>
      </c>
      <c r="G25" s="36">
        <f>$D$25*G$24</f>
        <v>32545</v>
      </c>
      <c r="H25" s="36">
        <f t="shared" si="1"/>
        <v>41363.2</v>
      </c>
    </row>
    <row r="26" spans="1:8" ht="12.75">
      <c r="A26" s="1"/>
      <c r="B26" s="55"/>
      <c r="C26" s="19" t="s">
        <v>15</v>
      </c>
      <c r="D26" s="1"/>
      <c r="E26" s="59">
        <f>ROUND(SUM(E24:E25),-2)</f>
        <v>41200</v>
      </c>
      <c r="F26" s="59">
        <f>ROUND(SUM(F24:F25),-2)</f>
        <v>11700</v>
      </c>
      <c r="G26" s="59">
        <f>ROUND(SUM(G24:G25),-2)</f>
        <v>195300</v>
      </c>
      <c r="H26" s="59">
        <f t="shared" si="1"/>
        <v>248200</v>
      </c>
    </row>
    <row r="27" spans="1:8" ht="12.75">
      <c r="A27" s="1"/>
      <c r="C27" s="54" t="s">
        <v>30</v>
      </c>
      <c r="D27" s="11">
        <v>0.06</v>
      </c>
      <c r="E27" s="36">
        <f>$D$27*E$26</f>
        <v>2472</v>
      </c>
      <c r="F27" s="36">
        <f>$D$27*F$26</f>
        <v>702</v>
      </c>
      <c r="G27" s="36">
        <f>$D$27*G$26</f>
        <v>11718</v>
      </c>
      <c r="H27" s="36">
        <f t="shared" si="1"/>
        <v>14892</v>
      </c>
    </row>
    <row r="28" spans="1:8" ht="12.75">
      <c r="A28" s="1"/>
      <c r="C28" s="54" t="s">
        <v>31</v>
      </c>
      <c r="D28" s="11">
        <v>0.06</v>
      </c>
      <c r="E28" s="36">
        <f>$D$28*E$26</f>
        <v>2472</v>
      </c>
      <c r="F28" s="36">
        <f>$D$28*F$26</f>
        <v>702</v>
      </c>
      <c r="G28" s="36">
        <f>$D$28*G$26</f>
        <v>11718</v>
      </c>
      <c r="H28" s="36">
        <f t="shared" si="1"/>
        <v>14892</v>
      </c>
    </row>
    <row r="29" spans="1:8" ht="12.75">
      <c r="A29" s="1"/>
      <c r="B29" s="1"/>
      <c r="C29" s="5"/>
      <c r="D29" s="1"/>
      <c r="E29" s="1"/>
      <c r="F29" s="1"/>
      <c r="G29" s="1"/>
      <c r="H29" s="4"/>
    </row>
    <row r="30" spans="1:8" ht="13.5" thickBot="1">
      <c r="A30" s="1"/>
      <c r="B30" s="1"/>
      <c r="C30" s="19" t="s">
        <v>8</v>
      </c>
      <c r="D30" s="1"/>
      <c r="E30" s="57">
        <f>ROUND(SUM(E26:E29),-3)</f>
        <v>46000</v>
      </c>
      <c r="F30" s="57">
        <f>ROUND(SUM(F26:F29),-3)</f>
        <v>13000</v>
      </c>
      <c r="G30" s="57">
        <f>ROUND(SUM(G26:G29),-3)</f>
        <v>219000</v>
      </c>
      <c r="H30" s="57">
        <f>SUM(E30:G30)</f>
        <v>278000</v>
      </c>
    </row>
    <row r="31" spans="1:8" ht="13.5" thickTop="1">
      <c r="A31" s="1"/>
      <c r="B31" s="1"/>
      <c r="C31" s="19"/>
      <c r="D31" s="1"/>
      <c r="E31" s="15"/>
      <c r="F31" s="15"/>
      <c r="G31" s="15"/>
      <c r="H31" s="15"/>
    </row>
    <row r="32" spans="1:8" ht="12.75">
      <c r="A32" s="1"/>
      <c r="B32" s="1"/>
      <c r="C32" s="4"/>
      <c r="D32" s="1"/>
      <c r="E32" s="1"/>
      <c r="H32" s="4"/>
    </row>
    <row r="33" spans="1:8" ht="13.5" thickBot="1">
      <c r="A33" s="26" t="s">
        <v>9</v>
      </c>
      <c r="B33" s="27" t="s">
        <v>57</v>
      </c>
      <c r="C33" s="28"/>
      <c r="D33" s="29"/>
      <c r="E33" s="44" t="str">
        <f>E6</f>
        <v>BOAT RAMP/PARKING</v>
      </c>
      <c r="F33" s="44" t="str">
        <f>F6</f>
        <v>DAY USE AREA</v>
      </c>
      <c r="G33" s="44" t="str">
        <f>G6</f>
        <v>CAMPGROUND</v>
      </c>
      <c r="H33" s="44" t="str">
        <f>H6</f>
        <v>TOTAL</v>
      </c>
    </row>
    <row r="34" spans="1:8" ht="12.75">
      <c r="A34" s="16"/>
      <c r="B34" s="25" t="s">
        <v>62</v>
      </c>
      <c r="C34" s="4"/>
      <c r="D34" s="1"/>
      <c r="E34" s="7">
        <v>1</v>
      </c>
      <c r="F34" s="7">
        <v>1</v>
      </c>
      <c r="G34" s="7">
        <v>25</v>
      </c>
      <c r="H34" s="4"/>
    </row>
    <row r="35" spans="1:8" ht="12.75">
      <c r="A35" s="16"/>
      <c r="B35" s="25" t="s">
        <v>63</v>
      </c>
      <c r="C35" s="4"/>
      <c r="D35" s="1"/>
      <c r="E35" s="7">
        <v>60</v>
      </c>
      <c r="F35" s="7">
        <v>60</v>
      </c>
      <c r="G35" s="7">
        <v>60</v>
      </c>
      <c r="H35" s="12"/>
    </row>
    <row r="36" spans="2:8" ht="12.75">
      <c r="B36" s="25" t="s">
        <v>43</v>
      </c>
      <c r="C36" s="8"/>
      <c r="D36" s="8"/>
      <c r="E36" s="8">
        <f>E34*E35*1</f>
        <v>60</v>
      </c>
      <c r="F36" s="8">
        <f>F34*F35*0.25</f>
        <v>15</v>
      </c>
      <c r="G36" s="8">
        <f>G34*G35*0.25</f>
        <v>375</v>
      </c>
      <c r="H36" s="8"/>
    </row>
    <row r="37" spans="2:8" ht="12.75">
      <c r="B37" s="25" t="s">
        <v>44</v>
      </c>
      <c r="C37" s="8"/>
      <c r="D37" s="8"/>
      <c r="E37" s="43">
        <v>15</v>
      </c>
      <c r="F37" s="43">
        <v>15</v>
      </c>
      <c r="G37" s="43">
        <v>15</v>
      </c>
      <c r="H37" s="43"/>
    </row>
    <row r="38" spans="2:8" ht="12.75">
      <c r="B38" s="25" t="s">
        <v>45</v>
      </c>
      <c r="C38" s="8"/>
      <c r="D38" s="8"/>
      <c r="E38" s="37">
        <f>E36*E37</f>
        <v>900</v>
      </c>
      <c r="F38" s="37">
        <f>F36*F37</f>
        <v>225</v>
      </c>
      <c r="G38" s="37">
        <f>G36*G37</f>
        <v>5625</v>
      </c>
      <c r="H38" s="37">
        <f>SUM(E38:G38)</f>
        <v>6750</v>
      </c>
    </row>
    <row r="39" spans="2:8" ht="12.75">
      <c r="B39" s="25" t="s">
        <v>46</v>
      </c>
      <c r="C39" s="8"/>
      <c r="D39" s="33">
        <v>0.075</v>
      </c>
      <c r="E39" s="38">
        <f>ROUND(E38*$D$39,-2)</f>
        <v>100</v>
      </c>
      <c r="F39" s="38">
        <f>ROUND(F38*$D$39,-2)</f>
        <v>0</v>
      </c>
      <c r="G39" s="38">
        <f>ROUND(G38*$D$39,-2)</f>
        <v>400</v>
      </c>
      <c r="H39" s="38">
        <f>SUM(D39:G39)</f>
        <v>500.075</v>
      </c>
    </row>
    <row r="40" spans="2:8" ht="12.75">
      <c r="B40" s="25" t="s">
        <v>47</v>
      </c>
      <c r="C40" s="8"/>
      <c r="D40" s="8"/>
      <c r="E40" s="42">
        <f>SUM(E38:E39)</f>
        <v>1000</v>
      </c>
      <c r="F40" s="42">
        <f>SUM(F38:F39)</f>
        <v>225</v>
      </c>
      <c r="G40" s="42">
        <f>SUM(G38:G39)</f>
        <v>6025</v>
      </c>
      <c r="H40" s="42">
        <f aca="true" t="shared" si="2" ref="H40:H46">SUM(E40:G40)</f>
        <v>7250</v>
      </c>
    </row>
    <row r="41" spans="2:8" ht="12.75">
      <c r="B41" s="25" t="s">
        <v>48</v>
      </c>
      <c r="C41" s="8"/>
      <c r="D41" s="8"/>
      <c r="E41" s="39">
        <v>200</v>
      </c>
      <c r="F41" s="39">
        <v>50</v>
      </c>
      <c r="G41" s="39">
        <v>250</v>
      </c>
      <c r="H41" s="39">
        <f t="shared" si="2"/>
        <v>500</v>
      </c>
    </row>
    <row r="42" spans="2:8" ht="12.75">
      <c r="B42" s="25" t="s">
        <v>49</v>
      </c>
      <c r="C42" s="8"/>
      <c r="D42" s="8"/>
      <c r="E42" s="39"/>
      <c r="F42" s="39"/>
      <c r="G42" s="39"/>
      <c r="H42" s="39">
        <f t="shared" si="2"/>
        <v>0</v>
      </c>
    </row>
    <row r="43" spans="2:8" ht="12.75">
      <c r="B43" s="25" t="s">
        <v>160</v>
      </c>
      <c r="C43" s="8"/>
      <c r="D43" s="8"/>
      <c r="E43" s="39"/>
      <c r="F43" s="39"/>
      <c r="G43" s="39"/>
      <c r="H43" s="39"/>
    </row>
    <row r="44" spans="2:8" ht="12.75">
      <c r="B44" s="25" t="s">
        <v>50</v>
      </c>
      <c r="C44" s="8"/>
      <c r="D44" s="8"/>
      <c r="E44" s="40">
        <v>250</v>
      </c>
      <c r="F44" s="40"/>
      <c r="G44" s="40">
        <v>250</v>
      </c>
      <c r="H44" s="39">
        <f t="shared" si="2"/>
        <v>500</v>
      </c>
    </row>
    <row r="45" spans="2:8" ht="12.75">
      <c r="B45" s="25" t="s">
        <v>61</v>
      </c>
      <c r="C45" s="8"/>
      <c r="D45" s="33">
        <v>0.2</v>
      </c>
      <c r="E45" s="41">
        <f>ROUND(SUM(E40:E44)*$D$45,-2)</f>
        <v>300</v>
      </c>
      <c r="F45" s="41">
        <f>ROUND(SUM(F40:F44)*$D$45,-2)</f>
        <v>100</v>
      </c>
      <c r="G45" s="41">
        <f>ROUND(SUM(G40:G44)*$D$45,-2)</f>
        <v>1300</v>
      </c>
      <c r="H45" s="41">
        <f t="shared" si="2"/>
        <v>1700</v>
      </c>
    </row>
    <row r="46" spans="2:8" ht="13.5" thickBot="1">
      <c r="B46" s="34" t="s">
        <v>51</v>
      </c>
      <c r="C46" s="8"/>
      <c r="D46" s="8"/>
      <c r="E46" s="58">
        <f>SUM(E40:E45)</f>
        <v>1750</v>
      </c>
      <c r="F46" s="58">
        <f>SUM(F40:F45)</f>
        <v>375</v>
      </c>
      <c r="G46" s="58">
        <f>SUM(G40:G45)</f>
        <v>7825</v>
      </c>
      <c r="H46" s="58">
        <f t="shared" si="2"/>
        <v>9950</v>
      </c>
    </row>
    <row r="47" spans="2:8" ht="13.5" thickTop="1">
      <c r="B47" s="7"/>
      <c r="C47" s="8"/>
      <c r="D47" s="8"/>
      <c r="E47" s="8"/>
      <c r="F47" s="8"/>
      <c r="G47" s="8"/>
      <c r="H47" s="12"/>
    </row>
    <row r="48" spans="2:8" ht="12.75">
      <c r="B48" s="7"/>
      <c r="C48" s="8"/>
      <c r="D48" s="8"/>
      <c r="E48" s="8"/>
      <c r="F48" s="8"/>
      <c r="G48" s="8"/>
      <c r="H48" s="12"/>
    </row>
    <row r="49" spans="1:8" ht="13.5" thickBot="1">
      <c r="A49" s="26" t="s">
        <v>10</v>
      </c>
      <c r="B49" s="27" t="s">
        <v>58</v>
      </c>
      <c r="C49" s="30"/>
      <c r="D49" s="30"/>
      <c r="E49" s="44" t="str">
        <f>E33</f>
        <v>BOAT RAMP/PARKING</v>
      </c>
      <c r="F49" s="44" t="str">
        <f>F33</f>
        <v>DAY USE AREA</v>
      </c>
      <c r="G49" s="44" t="str">
        <f>G33</f>
        <v>CAMPGROUND</v>
      </c>
      <c r="H49" s="47" t="str">
        <f>H33</f>
        <v>TOTAL</v>
      </c>
    </row>
    <row r="50" spans="1:8" ht="12.75">
      <c r="A50" s="16"/>
      <c r="B50" s="25" t="s">
        <v>62</v>
      </c>
      <c r="C50" s="7"/>
      <c r="D50" s="7"/>
      <c r="E50" s="7">
        <v>15</v>
      </c>
      <c r="F50" s="7">
        <v>5</v>
      </c>
      <c r="G50" s="7">
        <v>25</v>
      </c>
      <c r="H50" s="12"/>
    </row>
    <row r="51" spans="1:8" ht="12.75">
      <c r="A51" s="16"/>
      <c r="B51" s="25" t="s">
        <v>64</v>
      </c>
      <c r="C51" s="7"/>
      <c r="D51" s="7"/>
      <c r="E51" s="7">
        <v>60</v>
      </c>
      <c r="F51" s="7">
        <v>60</v>
      </c>
      <c r="G51" s="7">
        <v>60</v>
      </c>
      <c r="H51" s="12"/>
    </row>
    <row r="52" spans="2:8" ht="12.75">
      <c r="B52" s="25" t="s">
        <v>65</v>
      </c>
      <c r="C52" s="8"/>
      <c r="D52" s="8"/>
      <c r="E52" s="31">
        <v>7</v>
      </c>
      <c r="F52" s="31">
        <v>7</v>
      </c>
      <c r="G52" s="31">
        <v>12</v>
      </c>
      <c r="H52" s="12"/>
    </row>
    <row r="53" spans="2:8" ht="12.75">
      <c r="B53" s="25" t="s">
        <v>66</v>
      </c>
      <c r="C53" s="8"/>
      <c r="D53" s="8"/>
      <c r="E53" s="24">
        <v>1</v>
      </c>
      <c r="F53" s="24">
        <v>1</v>
      </c>
      <c r="G53" s="24">
        <v>1</v>
      </c>
      <c r="H53" s="24"/>
    </row>
    <row r="54" spans="2:8" ht="13.5" thickBot="1">
      <c r="B54" s="34" t="s">
        <v>52</v>
      </c>
      <c r="C54" s="8"/>
      <c r="D54" s="8"/>
      <c r="E54" s="49">
        <f>E50*E51*E52*E53</f>
        <v>6300</v>
      </c>
      <c r="F54" s="49">
        <f>F50*F51*F52*F53</f>
        <v>2100</v>
      </c>
      <c r="G54" s="49">
        <f>G50*G51*G52*G53</f>
        <v>18000</v>
      </c>
      <c r="H54" s="49">
        <f>SUM(E54:G54)</f>
        <v>26400</v>
      </c>
    </row>
    <row r="55" spans="2:8" ht="13.5" thickTop="1">
      <c r="B55" s="25"/>
      <c r="C55" s="8"/>
      <c r="D55" s="8"/>
      <c r="E55" s="8"/>
      <c r="F55" s="8"/>
      <c r="G55" s="8"/>
      <c r="H55" s="8"/>
    </row>
    <row r="56" spans="2:8" ht="12.75">
      <c r="B56" s="25"/>
      <c r="C56" s="8"/>
      <c r="D56" s="8"/>
      <c r="E56" s="8"/>
      <c r="F56" s="8"/>
      <c r="G56" s="8"/>
      <c r="H56" s="8"/>
    </row>
    <row r="57" spans="1:8" ht="13.5" thickBot="1">
      <c r="A57" s="26" t="s">
        <v>69</v>
      </c>
      <c r="B57" s="27" t="s">
        <v>68</v>
      </c>
      <c r="C57" s="30"/>
      <c r="D57" s="30"/>
      <c r="E57" s="44" t="str">
        <f>E49</f>
        <v>BOAT RAMP/PARKING</v>
      </c>
      <c r="F57" s="44" t="str">
        <f>F49</f>
        <v>DAY USE AREA</v>
      </c>
      <c r="G57" s="44" t="str">
        <f>G49</f>
        <v>CAMPGROUND</v>
      </c>
      <c r="H57" s="47" t="str">
        <f>H49</f>
        <v>TOTAL</v>
      </c>
    </row>
    <row r="58" spans="2:8" ht="12.75">
      <c r="B58" s="25" t="s">
        <v>53</v>
      </c>
      <c r="C58" s="8"/>
      <c r="D58" s="8"/>
      <c r="E58" s="48">
        <f>E54-E46</f>
        <v>4550</v>
      </c>
      <c r="F58" s="48">
        <f>F54-F46</f>
        <v>1725</v>
      </c>
      <c r="G58" s="48">
        <f>G54-G46</f>
        <v>10175</v>
      </c>
      <c r="H58" s="48">
        <f>H54-H46</f>
        <v>16450</v>
      </c>
    </row>
    <row r="59" spans="2:8" ht="12.75">
      <c r="B59" s="25" t="s">
        <v>54</v>
      </c>
      <c r="C59" s="8"/>
      <c r="D59" s="8"/>
      <c r="E59" s="50">
        <f>E30</f>
        <v>46000</v>
      </c>
      <c r="F59" s="50">
        <f>F30</f>
        <v>13000</v>
      </c>
      <c r="G59" s="50">
        <f>G30</f>
        <v>219000</v>
      </c>
      <c r="H59" s="50">
        <f>H30</f>
        <v>278000</v>
      </c>
    </row>
    <row r="60" spans="2:8" ht="12.75">
      <c r="B60" s="25" t="s">
        <v>55</v>
      </c>
      <c r="C60" s="8"/>
      <c r="D60" s="8"/>
      <c r="E60" s="20">
        <f>IF(ISERROR(E59/E58),0,E59/E58)</f>
        <v>10.10989010989011</v>
      </c>
      <c r="F60" s="20">
        <f>IF(ISERROR(F59/F58),0,F59/F58)</f>
        <v>7.536231884057971</v>
      </c>
      <c r="G60" s="20">
        <f>IF(ISERROR(G59/G58),0,G59/G58)</f>
        <v>21.523341523341525</v>
      </c>
      <c r="H60" s="20">
        <f>IF(ISERROR(H59/H58),0,H59/H58)</f>
        <v>16.89969604863222</v>
      </c>
    </row>
    <row r="61" spans="2:8" ht="12.75">
      <c r="B61" s="25" t="s">
        <v>80</v>
      </c>
      <c r="C61" s="8"/>
      <c r="D61" s="8"/>
      <c r="E61" s="32">
        <f>IF(ISERROR(E58/E59),0,E58/E59)</f>
        <v>0.09891304347826087</v>
      </c>
      <c r="F61" s="32">
        <f>IF(ISERROR(F58/F59),0,F58/F59)</f>
        <v>0.1326923076923077</v>
      </c>
      <c r="G61" s="32">
        <f>IF(ISERROR(G58/G59),0,G58/G59)</f>
        <v>0.04646118721461187</v>
      </c>
      <c r="H61" s="32">
        <f>IF(ISERROR(H58/H59),0,H58/H59)</f>
        <v>0.059172661870503594</v>
      </c>
    </row>
    <row r="62" spans="2:8" ht="12.75">
      <c r="B62" s="25" t="s">
        <v>81</v>
      </c>
      <c r="C62" s="8"/>
      <c r="D62" s="8"/>
      <c r="E62" s="32">
        <f>IF(ISERROR(RATE($D$5,E58,-E59)),E61,RATE($D$5,E58,-E59))</f>
        <v>0.09182223955886543</v>
      </c>
      <c r="F62" s="32">
        <f>IF(ISERROR(RATE($D$5,F58,-F59)),F61,RATE($D$5,F58,-F59))</f>
        <v>0.12922993095885127</v>
      </c>
      <c r="G62" s="32">
        <f>IF(ISERROR(RATE($D$5,G58,-G59)),G61,RATE($D$5,G58,-G59))</f>
        <v>0.022917926104977587</v>
      </c>
      <c r="H62" s="32">
        <f>IF(ISERROR(RATE($D$5,H58,-H59)),H61,RATE($D$5,H58,-H59))</f>
        <v>0.04190152740199424</v>
      </c>
    </row>
    <row r="63" spans="2:8" ht="12.75">
      <c r="B63" s="25" t="s">
        <v>79</v>
      </c>
      <c r="C63" s="8"/>
      <c r="D63" s="8"/>
      <c r="E63" s="60">
        <f>ROUND(PV($D$4,$D$5,-E58)-E59,-3)</f>
        <v>46000</v>
      </c>
      <c r="F63" s="60">
        <f>ROUND(PV($D$4,$D$5,-F58)-F59,-3)</f>
        <v>22000</v>
      </c>
      <c r="G63" s="60">
        <f>ROUND(PV($D$4,$D$5,-G58)-G59,-3)</f>
        <v>-14000</v>
      </c>
      <c r="H63" s="60">
        <f>ROUND(PV($D$4,$D$5,-H58)-H59,-3)</f>
        <v>53000</v>
      </c>
    </row>
    <row r="64" spans="3:8" ht="12.75">
      <c r="C64" s="8"/>
      <c r="D64" s="8"/>
      <c r="E64" s="52"/>
      <c r="F64" s="8"/>
      <c r="G64" s="8"/>
      <c r="H64" s="8"/>
    </row>
    <row r="65" spans="3:8" ht="12.75">
      <c r="C65" s="8"/>
      <c r="D65" s="8"/>
      <c r="E65" s="52"/>
      <c r="F65" s="8"/>
      <c r="G65" s="8"/>
      <c r="H65" s="8"/>
    </row>
    <row r="66" spans="1:8" ht="13.5" thickBot="1">
      <c r="A66" s="26" t="s">
        <v>70</v>
      </c>
      <c r="B66" s="27" t="s">
        <v>60</v>
      </c>
      <c r="C66" s="30"/>
      <c r="D66" s="30"/>
      <c r="E66" s="44" t="str">
        <f>E57</f>
        <v>BOAT RAMP/PARKING</v>
      </c>
      <c r="F66" s="44" t="str">
        <f>F57</f>
        <v>DAY USE AREA</v>
      </c>
      <c r="G66" s="44" t="str">
        <f>G57</f>
        <v>CAMPGROUND</v>
      </c>
      <c r="H66" s="47" t="str">
        <f>H57</f>
        <v>TOTAL</v>
      </c>
    </row>
    <row r="67" spans="2:8" ht="12.75">
      <c r="B67" s="25" t="s">
        <v>74</v>
      </c>
      <c r="C67" s="8"/>
      <c r="D67" s="8"/>
      <c r="E67" s="48">
        <f>PMT($D$4,$D$5,-E30)+E46</f>
        <v>4036.6212175874</v>
      </c>
      <c r="F67" s="48">
        <f>PMT($D$4,$D$5,-F30)+F46</f>
        <v>1021.219039752961</v>
      </c>
      <c r="G67" s="48">
        <f>PMT($D$4,$D$5,-G30)+G46</f>
        <v>18711.30536199219</v>
      </c>
      <c r="H67" s="48">
        <f>PMT($D$4,$D$5,-H30)+H46</f>
        <v>23769.14561933255</v>
      </c>
    </row>
    <row r="68" spans="2:8" ht="12.75">
      <c r="B68" s="25" t="s">
        <v>73</v>
      </c>
      <c r="E68" s="53">
        <f>IF(ISERROR(E67/(E53*E52*E50)),0,E67/(E53*E52*E50))</f>
        <v>38.44401159607048</v>
      </c>
      <c r="F68" s="53">
        <f>IF(ISERROR(F67/(F53*F52*F50)),0,F67/(F53*F52*F50))</f>
        <v>29.177686850084598</v>
      </c>
      <c r="G68" s="53">
        <f>IF(ISERROR(G67/(G53*G52*G50)),0,G67/(G53*G52*G50))</f>
        <v>62.371017873307295</v>
      </c>
      <c r="H68" s="20"/>
    </row>
    <row r="69" spans="2:7" ht="12.75">
      <c r="B69" s="25" t="s">
        <v>71</v>
      </c>
      <c r="E69" s="31">
        <f>IF(ISERROR((E67+E46)/(E50*E51*E53)),0,E67/(E50*E51*E53))</f>
        <v>4.485134686208222</v>
      </c>
      <c r="F69" s="31">
        <f>IF(ISERROR((F67+F46)/(F50*F51*F53)),0,F67/(F50*F51*F53))</f>
        <v>3.404063465843203</v>
      </c>
      <c r="G69" s="31">
        <f>IF(ISERROR((G67+G46)/(G50*G51*G53)),0,G67/(G50*G51*G53))</f>
        <v>12.474203574661459</v>
      </c>
    </row>
    <row r="70" spans="2:7" ht="12.75">
      <c r="B70" s="25" t="s">
        <v>72</v>
      </c>
      <c r="E70" s="51">
        <f>IF(ISERROR(E67/(E52*E51*E50)),0,E67/(E52*E51*E50))</f>
        <v>0.6407335266011747</v>
      </c>
      <c r="F70" s="51">
        <f>IF(ISERROR(F67/(F52*F51*F50)),0,F67/(F52*F51*F50))</f>
        <v>0.4862947808347433</v>
      </c>
      <c r="G70" s="51">
        <f>IF(ISERROR(G67/(G52*G51*G50)),0,G67/(G52*G51*G50))</f>
        <v>1.0395169645551217</v>
      </c>
    </row>
  </sheetData>
  <sheetProtection sheet="1" objects="1" scenarios="1" formatCells="0" formatColumns="0" formatRows="0" insertColumns="0" insertRows="0" insertHyperlinks="0" deleteColumns="0" deleteRows="0"/>
  <protectedRanges>
    <protectedRange sqref="A1:H2" name="Title"/>
    <protectedRange sqref="A6:H20" name="Breakdown by Facility"/>
    <protectedRange sqref="D22:D23 D25 D27:D28" name="Construction Percentages"/>
    <protectedRange sqref="E41:G44 D39 D45 E34:G37" name="Operating Costs"/>
    <protectedRange sqref="E50:G53" name="Revenue"/>
  </protectedRanges>
  <mergeCells count="3">
    <mergeCell ref="E5:H5"/>
    <mergeCell ref="A1:H1"/>
    <mergeCell ref="A2:H2"/>
  </mergeCells>
  <printOptions/>
  <pageMargins left="0.75" right="0.75" top="1" bottom="1" header="0.5" footer="0.5"/>
  <pageSetup firstPageNumber="22" useFirstPageNumber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70"/>
  <sheetViews>
    <sheetView workbookViewId="0" topLeftCell="A1">
      <selection activeCell="A1" sqref="A1:G1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14.8515625" style="0" customWidth="1"/>
    <col min="4" max="4" width="5.421875" style="0" customWidth="1"/>
    <col min="5" max="5" width="16.8515625" style="0" bestFit="1" customWidth="1"/>
    <col min="6" max="6" width="11.57421875" style="0" bestFit="1" customWidth="1"/>
    <col min="7" max="7" width="12.00390625" style="0" bestFit="1" customWidth="1"/>
  </cols>
  <sheetData>
    <row r="1" spans="1:7" ht="15.75">
      <c r="A1" s="108" t="s">
        <v>167</v>
      </c>
      <c r="B1" s="108"/>
      <c r="C1" s="108"/>
      <c r="D1" s="108"/>
      <c r="E1" s="108"/>
      <c r="F1" s="108"/>
      <c r="G1" s="108"/>
    </row>
    <row r="2" spans="1:7" ht="15">
      <c r="A2" s="109" t="s">
        <v>38</v>
      </c>
      <c r="B2" s="109"/>
      <c r="C2" s="109"/>
      <c r="D2" s="109"/>
      <c r="E2" s="109"/>
      <c r="F2" s="109"/>
      <c r="G2" s="109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7" t="s">
        <v>78</v>
      </c>
      <c r="D4" s="3">
        <v>0.028</v>
      </c>
      <c r="E4" s="1"/>
    </row>
    <row r="5" spans="1:7" ht="13.5" thickBot="1">
      <c r="A5" s="26" t="s">
        <v>4</v>
      </c>
      <c r="B5" s="26" t="s">
        <v>59</v>
      </c>
      <c r="C5" s="56" t="s">
        <v>0</v>
      </c>
      <c r="D5" s="29">
        <v>30</v>
      </c>
      <c r="E5" s="107" t="s">
        <v>56</v>
      </c>
      <c r="F5" s="107"/>
      <c r="G5" s="107"/>
    </row>
    <row r="6" spans="1:7" ht="12.75">
      <c r="A6" s="1"/>
      <c r="B6" s="2" t="s">
        <v>1</v>
      </c>
      <c r="C6" s="2" t="s">
        <v>3</v>
      </c>
      <c r="D6" s="2" t="s">
        <v>2</v>
      </c>
      <c r="E6" s="23" t="s">
        <v>90</v>
      </c>
      <c r="F6" s="45" t="s">
        <v>35</v>
      </c>
      <c r="G6" s="46" t="s">
        <v>42</v>
      </c>
    </row>
    <row r="7" spans="1:7" ht="12.75">
      <c r="A7" s="1">
        <v>1</v>
      </c>
      <c r="B7" s="7" t="s">
        <v>82</v>
      </c>
      <c r="C7" s="13">
        <v>0.32</v>
      </c>
      <c r="D7" s="7" t="s">
        <v>76</v>
      </c>
      <c r="E7" s="21"/>
      <c r="F7" s="22">
        <v>24000</v>
      </c>
      <c r="G7" s="35">
        <f aca="true" t="shared" si="0" ref="G7:G20">SUM(E7:F7)*C7</f>
        <v>7680</v>
      </c>
    </row>
    <row r="8" spans="1:7" ht="12.75">
      <c r="A8" s="1">
        <v>2</v>
      </c>
      <c r="B8" s="7" t="s">
        <v>83</v>
      </c>
      <c r="C8" s="13">
        <v>0.32</v>
      </c>
      <c r="D8" s="7" t="s">
        <v>76</v>
      </c>
      <c r="E8" s="21">
        <v>9000</v>
      </c>
      <c r="F8" s="22"/>
      <c r="G8" s="36">
        <f t="shared" si="0"/>
        <v>2880</v>
      </c>
    </row>
    <row r="9" spans="1:7" ht="12.75">
      <c r="A9" s="1">
        <v>3</v>
      </c>
      <c r="B9" s="7" t="s">
        <v>19</v>
      </c>
      <c r="C9" s="13">
        <v>14.5</v>
      </c>
      <c r="D9" s="7" t="s">
        <v>23</v>
      </c>
      <c r="E9" s="21"/>
      <c r="F9" s="22"/>
      <c r="G9" s="36">
        <f t="shared" si="0"/>
        <v>0</v>
      </c>
    </row>
    <row r="10" spans="1:7" ht="12.75">
      <c r="A10" s="9">
        <v>4</v>
      </c>
      <c r="B10" s="7" t="s">
        <v>20</v>
      </c>
      <c r="C10" s="13">
        <v>11400</v>
      </c>
      <c r="D10" s="7" t="s">
        <v>5</v>
      </c>
      <c r="E10" s="21"/>
      <c r="F10" s="22"/>
      <c r="G10" s="36">
        <f t="shared" si="0"/>
        <v>0</v>
      </c>
    </row>
    <row r="11" spans="1:7" ht="12.75">
      <c r="A11" s="1">
        <v>5</v>
      </c>
      <c r="B11" s="7" t="s">
        <v>21</v>
      </c>
      <c r="C11" s="13">
        <v>8000</v>
      </c>
      <c r="D11" s="7" t="s">
        <v>6</v>
      </c>
      <c r="E11" s="21"/>
      <c r="F11" s="22"/>
      <c r="G11" s="36">
        <f t="shared" si="0"/>
        <v>0</v>
      </c>
    </row>
    <row r="12" spans="1:7" ht="12.75">
      <c r="A12" s="9">
        <v>6</v>
      </c>
      <c r="B12" s="7" t="s">
        <v>84</v>
      </c>
      <c r="C12" s="13">
        <v>40000</v>
      </c>
      <c r="D12" s="7" t="s">
        <v>6</v>
      </c>
      <c r="E12" s="21"/>
      <c r="F12" s="22">
        <v>1</v>
      </c>
      <c r="G12" s="36">
        <f t="shared" si="0"/>
        <v>40000</v>
      </c>
    </row>
    <row r="13" spans="1:7" ht="12.75">
      <c r="A13" s="10">
        <v>7</v>
      </c>
      <c r="B13" s="7" t="s">
        <v>85</v>
      </c>
      <c r="C13" s="13">
        <v>20000</v>
      </c>
      <c r="D13" s="7" t="s">
        <v>6</v>
      </c>
      <c r="E13" s="21"/>
      <c r="F13" s="22"/>
      <c r="G13" s="36">
        <f t="shared" si="0"/>
        <v>0</v>
      </c>
    </row>
    <row r="14" spans="1:7" ht="12.75">
      <c r="A14" s="1">
        <v>8</v>
      </c>
      <c r="B14" s="7" t="s">
        <v>86</v>
      </c>
      <c r="C14" s="13">
        <v>2000</v>
      </c>
      <c r="D14" s="7" t="s">
        <v>6</v>
      </c>
      <c r="E14" s="21"/>
      <c r="F14" s="22">
        <v>25</v>
      </c>
      <c r="G14" s="36">
        <f t="shared" si="0"/>
        <v>50000</v>
      </c>
    </row>
    <row r="15" spans="1:7" ht="12.75">
      <c r="A15" s="1">
        <v>9</v>
      </c>
      <c r="B15" s="7" t="s">
        <v>88</v>
      </c>
      <c r="C15" s="13">
        <v>1500</v>
      </c>
      <c r="D15" s="7" t="s">
        <v>6</v>
      </c>
      <c r="E15" s="21"/>
      <c r="F15" s="22"/>
      <c r="G15" s="36">
        <f t="shared" si="0"/>
        <v>0</v>
      </c>
    </row>
    <row r="16" spans="1:7" ht="12.75">
      <c r="A16" s="1">
        <v>10</v>
      </c>
      <c r="B16" s="7" t="s">
        <v>89</v>
      </c>
      <c r="C16" s="13">
        <v>25000</v>
      </c>
      <c r="D16" s="7" t="s">
        <v>6</v>
      </c>
      <c r="E16" s="21">
        <v>1</v>
      </c>
      <c r="F16" s="22"/>
      <c r="G16" s="36">
        <f t="shared" si="0"/>
        <v>25000</v>
      </c>
    </row>
    <row r="17" spans="1:7" ht="12.75">
      <c r="A17" s="9">
        <v>11</v>
      </c>
      <c r="B17" s="7" t="s">
        <v>26</v>
      </c>
      <c r="C17" s="13">
        <v>27000</v>
      </c>
      <c r="D17" s="7" t="s">
        <v>5</v>
      </c>
      <c r="E17" s="21"/>
      <c r="F17" s="22"/>
      <c r="G17" s="36">
        <f t="shared" si="0"/>
        <v>0</v>
      </c>
    </row>
    <row r="18" spans="1:230" ht="12.75">
      <c r="A18" s="10">
        <v>12</v>
      </c>
      <c r="B18" s="7" t="s">
        <v>36</v>
      </c>
      <c r="C18" s="13">
        <v>2.04</v>
      </c>
      <c r="D18" s="7" t="s">
        <v>75</v>
      </c>
      <c r="E18" s="21"/>
      <c r="F18" s="22"/>
      <c r="G18" s="36">
        <f t="shared" si="0"/>
        <v>0</v>
      </c>
      <c r="H18" s="4"/>
      <c r="I18" s="6"/>
      <c r="J18" s="4"/>
      <c r="K18" s="10"/>
      <c r="L18" s="7"/>
      <c r="M18" s="7"/>
      <c r="N18" s="14"/>
      <c r="O18" s="13"/>
      <c r="P18" s="4"/>
      <c r="Q18" s="6"/>
      <c r="R18" s="4"/>
      <c r="S18" s="10"/>
      <c r="T18" s="7"/>
      <c r="U18" s="7"/>
      <c r="V18" s="14"/>
      <c r="W18" s="13"/>
      <c r="X18" s="4"/>
      <c r="Y18" s="6"/>
      <c r="Z18" s="4"/>
      <c r="AA18" s="10"/>
      <c r="AB18" s="7"/>
      <c r="AC18" s="7"/>
      <c r="AD18" s="14"/>
      <c r="AE18" s="13"/>
      <c r="AF18" s="4"/>
      <c r="AG18" s="6"/>
      <c r="AH18" s="4"/>
      <c r="AI18" s="10"/>
      <c r="AJ18" s="7"/>
      <c r="AK18" s="7"/>
      <c r="AL18" s="14"/>
      <c r="AM18" s="13"/>
      <c r="AN18" s="4"/>
      <c r="AO18" s="6"/>
      <c r="AP18" s="4"/>
      <c r="AQ18" s="10"/>
      <c r="AR18" s="7"/>
      <c r="AS18" s="7"/>
      <c r="AT18" s="14"/>
      <c r="AU18" s="13"/>
      <c r="AV18" s="4"/>
      <c r="AW18" s="6"/>
      <c r="AX18" s="4"/>
      <c r="AY18" s="10"/>
      <c r="AZ18" s="7"/>
      <c r="BA18" s="7"/>
      <c r="BB18" s="14"/>
      <c r="BC18" s="13"/>
      <c r="BD18" s="4"/>
      <c r="BE18" s="6"/>
      <c r="BF18" s="4"/>
      <c r="BG18" s="10"/>
      <c r="BH18" s="7"/>
      <c r="BI18" s="7"/>
      <c r="BJ18" s="14"/>
      <c r="BK18" s="13"/>
      <c r="BL18" s="4"/>
      <c r="BM18" s="6"/>
      <c r="BN18" s="4"/>
      <c r="BO18" s="10"/>
      <c r="BP18" s="7"/>
      <c r="BQ18" s="7"/>
      <c r="BR18" s="14"/>
      <c r="BS18" s="13"/>
      <c r="BT18" s="4"/>
      <c r="BU18" s="6"/>
      <c r="BV18" s="4"/>
      <c r="BW18" s="10"/>
      <c r="BX18" s="7"/>
      <c r="BY18" s="7"/>
      <c r="BZ18" s="14"/>
      <c r="CA18" s="13"/>
      <c r="CB18" s="4"/>
      <c r="CC18" s="6"/>
      <c r="CD18" s="4"/>
      <c r="CE18" s="10"/>
      <c r="CF18" s="7"/>
      <c r="CG18" s="7"/>
      <c r="CH18" s="14"/>
      <c r="CI18" s="13"/>
      <c r="CJ18" s="4"/>
      <c r="CK18" s="6"/>
      <c r="CL18" s="4"/>
      <c r="CM18" s="10"/>
      <c r="CN18" s="7"/>
      <c r="CO18" s="7"/>
      <c r="CP18" s="14"/>
      <c r="CQ18" s="13"/>
      <c r="CR18" s="4"/>
      <c r="CS18" s="6"/>
      <c r="CT18" s="4"/>
      <c r="CU18" s="10"/>
      <c r="CV18" s="7"/>
      <c r="CW18" s="7"/>
      <c r="CX18" s="14"/>
      <c r="CY18" s="13"/>
      <c r="CZ18" s="4"/>
      <c r="DA18" s="6"/>
      <c r="DB18" s="4"/>
      <c r="DC18" s="10"/>
      <c r="DD18" s="7"/>
      <c r="DE18" s="7"/>
      <c r="DF18" s="14"/>
      <c r="DG18" s="13"/>
      <c r="DH18" s="4"/>
      <c r="DI18" s="6"/>
      <c r="DJ18" s="4"/>
      <c r="DK18" s="10"/>
      <c r="DL18" s="7"/>
      <c r="DM18" s="7"/>
      <c r="DN18" s="14"/>
      <c r="DO18" s="13"/>
      <c r="DP18" s="4"/>
      <c r="DQ18" s="6"/>
      <c r="DR18" s="4"/>
      <c r="DS18" s="10"/>
      <c r="DT18" s="7"/>
      <c r="DU18" s="7"/>
      <c r="DV18" s="14"/>
      <c r="DW18" s="13"/>
      <c r="DX18" s="4"/>
      <c r="DY18" s="6"/>
      <c r="DZ18" s="4"/>
      <c r="EA18" s="10"/>
      <c r="EB18" s="7"/>
      <c r="EC18" s="7"/>
      <c r="ED18" s="14"/>
      <c r="EE18" s="13"/>
      <c r="EF18" s="4"/>
      <c r="EG18" s="6"/>
      <c r="EH18" s="4"/>
      <c r="EI18" s="10"/>
      <c r="EJ18" s="7"/>
      <c r="EK18" s="7"/>
      <c r="EL18" s="14"/>
      <c r="EM18" s="13"/>
      <c r="EN18" s="4"/>
      <c r="EO18" s="6"/>
      <c r="EP18" s="4"/>
      <c r="EQ18" s="10"/>
      <c r="ER18" s="7"/>
      <c r="ES18" s="7"/>
      <c r="ET18" s="14"/>
      <c r="EU18" s="13"/>
      <c r="EV18" s="4"/>
      <c r="EW18" s="6"/>
      <c r="EX18" s="4"/>
      <c r="EY18" s="10"/>
      <c r="EZ18" s="7"/>
      <c r="FA18" s="7"/>
      <c r="FB18" s="14"/>
      <c r="FC18" s="13"/>
      <c r="FD18" s="4"/>
      <c r="FE18" s="6"/>
      <c r="FF18" s="4"/>
      <c r="FG18" s="10"/>
      <c r="FH18" s="7"/>
      <c r="FI18" s="7"/>
      <c r="FJ18" s="14"/>
      <c r="FK18" s="13"/>
      <c r="FL18" s="4"/>
      <c r="FM18" s="6"/>
      <c r="FN18" s="4"/>
      <c r="FO18" s="10"/>
      <c r="FP18" s="7"/>
      <c r="FQ18" s="7"/>
      <c r="FR18" s="14"/>
      <c r="FS18" s="13"/>
      <c r="FT18" s="4"/>
      <c r="FU18" s="6"/>
      <c r="FV18" s="4"/>
      <c r="FW18" s="10"/>
      <c r="FX18" s="7"/>
      <c r="FY18" s="7"/>
      <c r="FZ18" s="14"/>
      <c r="GA18" s="13"/>
      <c r="GB18" s="4"/>
      <c r="GC18" s="6"/>
      <c r="GD18" s="4"/>
      <c r="GE18" s="10"/>
      <c r="GF18" s="7"/>
      <c r="GG18" s="7"/>
      <c r="GH18" s="14"/>
      <c r="GI18" s="13"/>
      <c r="GJ18" s="4"/>
      <c r="GK18" s="6"/>
      <c r="GL18" s="4"/>
      <c r="GM18" s="10"/>
      <c r="GN18" s="7"/>
      <c r="GO18" s="7"/>
      <c r="GP18" s="14"/>
      <c r="GQ18" s="13"/>
      <c r="GR18" s="4"/>
      <c r="GS18" s="6"/>
      <c r="GT18" s="4"/>
      <c r="GU18" s="10"/>
      <c r="GV18" s="7"/>
      <c r="GW18" s="7"/>
      <c r="GX18" s="14"/>
      <c r="GY18" s="13"/>
      <c r="GZ18" s="4"/>
      <c r="HA18" s="6"/>
      <c r="HB18" s="4"/>
      <c r="HC18" s="10"/>
      <c r="HD18" s="7"/>
      <c r="HE18" s="7"/>
      <c r="HF18" s="14"/>
      <c r="HG18" s="13"/>
      <c r="HH18" s="4"/>
      <c r="HI18" s="6"/>
      <c r="HJ18" s="4"/>
      <c r="HK18" s="10"/>
      <c r="HL18" s="7"/>
      <c r="HM18" s="7"/>
      <c r="HN18" s="14"/>
      <c r="HO18" s="13"/>
      <c r="HP18" s="4"/>
      <c r="HQ18" s="6"/>
      <c r="HR18" s="4"/>
      <c r="HS18" s="10"/>
      <c r="HT18" s="7"/>
      <c r="HU18" s="7"/>
      <c r="HV18" s="14"/>
    </row>
    <row r="19" spans="1:230" ht="12.75">
      <c r="A19" s="10">
        <v>13</v>
      </c>
      <c r="B19" s="7" t="s">
        <v>39</v>
      </c>
      <c r="C19" s="13">
        <v>25</v>
      </c>
      <c r="D19" s="7" t="s">
        <v>77</v>
      </c>
      <c r="E19" s="21"/>
      <c r="F19" s="22"/>
      <c r="G19" s="36">
        <f t="shared" si="0"/>
        <v>0</v>
      </c>
      <c r="H19" s="4"/>
      <c r="I19" s="6"/>
      <c r="J19" s="4"/>
      <c r="K19" s="10"/>
      <c r="L19" s="7"/>
      <c r="M19" s="7"/>
      <c r="N19" s="14"/>
      <c r="O19" s="13"/>
      <c r="P19" s="4"/>
      <c r="Q19" s="6"/>
      <c r="R19" s="4"/>
      <c r="S19" s="10"/>
      <c r="T19" s="7"/>
      <c r="U19" s="7"/>
      <c r="V19" s="14"/>
      <c r="W19" s="13"/>
      <c r="X19" s="4"/>
      <c r="Y19" s="6"/>
      <c r="Z19" s="4"/>
      <c r="AA19" s="10"/>
      <c r="AB19" s="7"/>
      <c r="AC19" s="7"/>
      <c r="AD19" s="14"/>
      <c r="AE19" s="13"/>
      <c r="AF19" s="4"/>
      <c r="AG19" s="6"/>
      <c r="AH19" s="4"/>
      <c r="AI19" s="10"/>
      <c r="AJ19" s="7"/>
      <c r="AK19" s="7"/>
      <c r="AL19" s="14"/>
      <c r="AM19" s="13"/>
      <c r="AN19" s="4"/>
      <c r="AO19" s="6"/>
      <c r="AP19" s="4"/>
      <c r="AQ19" s="10"/>
      <c r="AR19" s="7"/>
      <c r="AS19" s="7"/>
      <c r="AT19" s="14"/>
      <c r="AU19" s="13"/>
      <c r="AV19" s="4"/>
      <c r="AW19" s="6"/>
      <c r="AX19" s="4"/>
      <c r="AY19" s="10"/>
      <c r="AZ19" s="7"/>
      <c r="BA19" s="7"/>
      <c r="BB19" s="14"/>
      <c r="BC19" s="13"/>
      <c r="BD19" s="4"/>
      <c r="BE19" s="6"/>
      <c r="BF19" s="4"/>
      <c r="BG19" s="10"/>
      <c r="BH19" s="7"/>
      <c r="BI19" s="7"/>
      <c r="BJ19" s="14"/>
      <c r="BK19" s="13"/>
      <c r="BL19" s="4"/>
      <c r="BM19" s="6"/>
      <c r="BN19" s="4"/>
      <c r="BO19" s="10"/>
      <c r="BP19" s="7"/>
      <c r="BQ19" s="7"/>
      <c r="BR19" s="14"/>
      <c r="BS19" s="13"/>
      <c r="BT19" s="4"/>
      <c r="BU19" s="6"/>
      <c r="BV19" s="4"/>
      <c r="BW19" s="10"/>
      <c r="BX19" s="7"/>
      <c r="BY19" s="7"/>
      <c r="BZ19" s="14"/>
      <c r="CA19" s="13"/>
      <c r="CB19" s="4"/>
      <c r="CC19" s="6"/>
      <c r="CD19" s="4"/>
      <c r="CE19" s="10"/>
      <c r="CF19" s="7"/>
      <c r="CG19" s="7"/>
      <c r="CH19" s="14"/>
      <c r="CI19" s="13"/>
      <c r="CJ19" s="4"/>
      <c r="CK19" s="6"/>
      <c r="CL19" s="4"/>
      <c r="CM19" s="10"/>
      <c r="CN19" s="7"/>
      <c r="CO19" s="7"/>
      <c r="CP19" s="14"/>
      <c r="CQ19" s="13"/>
      <c r="CR19" s="4"/>
      <c r="CS19" s="6"/>
      <c r="CT19" s="4"/>
      <c r="CU19" s="10"/>
      <c r="CV19" s="7"/>
      <c r="CW19" s="7"/>
      <c r="CX19" s="14"/>
      <c r="CY19" s="13"/>
      <c r="CZ19" s="4"/>
      <c r="DA19" s="6"/>
      <c r="DB19" s="4"/>
      <c r="DC19" s="10"/>
      <c r="DD19" s="7"/>
      <c r="DE19" s="7"/>
      <c r="DF19" s="14"/>
      <c r="DG19" s="13"/>
      <c r="DH19" s="4"/>
      <c r="DI19" s="6"/>
      <c r="DJ19" s="4"/>
      <c r="DK19" s="10"/>
      <c r="DL19" s="7"/>
      <c r="DM19" s="7"/>
      <c r="DN19" s="14"/>
      <c r="DO19" s="13"/>
      <c r="DP19" s="4"/>
      <c r="DQ19" s="6"/>
      <c r="DR19" s="4"/>
      <c r="DS19" s="10"/>
      <c r="DT19" s="7"/>
      <c r="DU19" s="7"/>
      <c r="DV19" s="14"/>
      <c r="DW19" s="13"/>
      <c r="DX19" s="4"/>
      <c r="DY19" s="6"/>
      <c r="DZ19" s="4"/>
      <c r="EA19" s="10"/>
      <c r="EB19" s="7"/>
      <c r="EC19" s="7"/>
      <c r="ED19" s="14"/>
      <c r="EE19" s="13"/>
      <c r="EF19" s="4"/>
      <c r="EG19" s="6"/>
      <c r="EH19" s="4"/>
      <c r="EI19" s="10"/>
      <c r="EJ19" s="7"/>
      <c r="EK19" s="7"/>
      <c r="EL19" s="14"/>
      <c r="EM19" s="13"/>
      <c r="EN19" s="4"/>
      <c r="EO19" s="6"/>
      <c r="EP19" s="4"/>
      <c r="EQ19" s="10"/>
      <c r="ER19" s="7"/>
      <c r="ES19" s="7"/>
      <c r="ET19" s="14"/>
      <c r="EU19" s="13"/>
      <c r="EV19" s="4"/>
      <c r="EW19" s="6"/>
      <c r="EX19" s="4"/>
      <c r="EY19" s="10"/>
      <c r="EZ19" s="7"/>
      <c r="FA19" s="7"/>
      <c r="FB19" s="14"/>
      <c r="FC19" s="13"/>
      <c r="FD19" s="4"/>
      <c r="FE19" s="6"/>
      <c r="FF19" s="4"/>
      <c r="FG19" s="10"/>
      <c r="FH19" s="7"/>
      <c r="FI19" s="7"/>
      <c r="FJ19" s="14"/>
      <c r="FK19" s="13"/>
      <c r="FL19" s="4"/>
      <c r="FM19" s="6"/>
      <c r="FN19" s="4"/>
      <c r="FO19" s="10"/>
      <c r="FP19" s="7"/>
      <c r="FQ19" s="7"/>
      <c r="FR19" s="14"/>
      <c r="FS19" s="13"/>
      <c r="FT19" s="4"/>
      <c r="FU19" s="6"/>
      <c r="FV19" s="4"/>
      <c r="FW19" s="10"/>
      <c r="FX19" s="7"/>
      <c r="FY19" s="7"/>
      <c r="FZ19" s="14"/>
      <c r="GA19" s="13"/>
      <c r="GB19" s="4"/>
      <c r="GC19" s="6"/>
      <c r="GD19" s="4"/>
      <c r="GE19" s="10"/>
      <c r="GF19" s="7"/>
      <c r="GG19" s="7"/>
      <c r="GH19" s="14"/>
      <c r="GI19" s="13"/>
      <c r="GJ19" s="4"/>
      <c r="GK19" s="6"/>
      <c r="GL19" s="4"/>
      <c r="GM19" s="10"/>
      <c r="GN19" s="7"/>
      <c r="GO19" s="7"/>
      <c r="GP19" s="14"/>
      <c r="GQ19" s="13"/>
      <c r="GR19" s="4"/>
      <c r="GS19" s="6"/>
      <c r="GT19" s="4"/>
      <c r="GU19" s="10"/>
      <c r="GV19" s="7"/>
      <c r="GW19" s="7"/>
      <c r="GX19" s="14"/>
      <c r="GY19" s="13"/>
      <c r="GZ19" s="4"/>
      <c r="HA19" s="6"/>
      <c r="HB19" s="4"/>
      <c r="HC19" s="10"/>
      <c r="HD19" s="7"/>
      <c r="HE19" s="7"/>
      <c r="HF19" s="14"/>
      <c r="HG19" s="13"/>
      <c r="HH19" s="4"/>
      <c r="HI19" s="6"/>
      <c r="HJ19" s="4"/>
      <c r="HK19" s="10"/>
      <c r="HL19" s="7"/>
      <c r="HM19" s="7"/>
      <c r="HN19" s="14"/>
      <c r="HO19" s="13"/>
      <c r="HP19" s="4"/>
      <c r="HQ19" s="6"/>
      <c r="HR19" s="4"/>
      <c r="HS19" s="10"/>
      <c r="HT19" s="7"/>
      <c r="HU19" s="7"/>
      <c r="HV19" s="14"/>
    </row>
    <row r="20" spans="1:7" ht="12.75">
      <c r="A20" s="9"/>
      <c r="B20" s="7"/>
      <c r="C20" s="4"/>
      <c r="D20" s="7"/>
      <c r="E20" s="1"/>
      <c r="F20" s="8"/>
      <c r="G20" s="36">
        <f t="shared" si="0"/>
        <v>0</v>
      </c>
    </row>
    <row r="21" spans="1:7" ht="12.75">
      <c r="A21" s="9"/>
      <c r="B21" s="7"/>
      <c r="C21" s="19" t="s">
        <v>7</v>
      </c>
      <c r="D21" s="7"/>
      <c r="E21" s="59">
        <f>SUMPRODUCT($C$7:$C$19,E7:E19)</f>
        <v>27880</v>
      </c>
      <c r="F21" s="59">
        <f>SUMPRODUCT($C$7:$C$19,F7:F19)</f>
        <v>97680</v>
      </c>
      <c r="G21" s="59">
        <f aca="true" t="shared" si="1" ref="G21:G28">SUM(E21:F21)</f>
        <v>125560</v>
      </c>
    </row>
    <row r="22" spans="1:7" ht="12.75">
      <c r="A22" s="9"/>
      <c r="C22" s="54" t="s">
        <v>11</v>
      </c>
      <c r="D22" s="11">
        <v>0.05</v>
      </c>
      <c r="E22" s="36">
        <f>$D$22*E21</f>
        <v>1394</v>
      </c>
      <c r="F22" s="36">
        <f>$D$22*F21</f>
        <v>4884</v>
      </c>
      <c r="G22" s="36">
        <f t="shared" si="1"/>
        <v>6278</v>
      </c>
    </row>
    <row r="23" spans="1:7" ht="12.75">
      <c r="A23" s="9"/>
      <c r="C23" s="54" t="s">
        <v>12</v>
      </c>
      <c r="D23" s="11">
        <v>0.1</v>
      </c>
      <c r="E23" s="36">
        <f>E21*$D$23</f>
        <v>2788</v>
      </c>
      <c r="F23" s="36">
        <f>F21*$D$23</f>
        <v>9768</v>
      </c>
      <c r="G23" s="36">
        <f t="shared" si="1"/>
        <v>12556</v>
      </c>
    </row>
    <row r="24" spans="1:7" ht="12.75">
      <c r="A24" s="9"/>
      <c r="B24" s="54"/>
      <c r="C24" s="18" t="s">
        <v>13</v>
      </c>
      <c r="D24" s="11"/>
      <c r="E24" s="59">
        <f>SUM(E21:E23)</f>
        <v>32062</v>
      </c>
      <c r="F24" s="59">
        <f>SUM(F21:F23)</f>
        <v>112332</v>
      </c>
      <c r="G24" s="59">
        <f t="shared" si="1"/>
        <v>144394</v>
      </c>
    </row>
    <row r="25" spans="1:7" ht="12.75">
      <c r="A25" s="9"/>
      <c r="C25" s="54" t="s">
        <v>14</v>
      </c>
      <c r="D25" s="11">
        <v>0.2</v>
      </c>
      <c r="E25" s="36">
        <f>$D$25*E$24</f>
        <v>6412.400000000001</v>
      </c>
      <c r="F25" s="36">
        <f>$D$25*F$24</f>
        <v>22466.4</v>
      </c>
      <c r="G25" s="36">
        <f t="shared" si="1"/>
        <v>28878.800000000003</v>
      </c>
    </row>
    <row r="26" spans="1:7" ht="12.75">
      <c r="A26" s="1"/>
      <c r="B26" s="55"/>
      <c r="C26" s="19" t="s">
        <v>15</v>
      </c>
      <c r="D26" s="1"/>
      <c r="E26" s="59">
        <f>ROUND(SUM(E24:E25),-2)</f>
        <v>38500</v>
      </c>
      <c r="F26" s="59">
        <f>ROUND(SUM(F24:F25),-2)</f>
        <v>134800</v>
      </c>
      <c r="G26" s="59">
        <f t="shared" si="1"/>
        <v>173300</v>
      </c>
    </row>
    <row r="27" spans="1:7" ht="12.75">
      <c r="A27" s="1"/>
      <c r="C27" s="54" t="s">
        <v>30</v>
      </c>
      <c r="D27" s="11">
        <v>0.06</v>
      </c>
      <c r="E27" s="36">
        <f>$D$27*E$26</f>
        <v>2310</v>
      </c>
      <c r="F27" s="36">
        <f>$D$27*F$26</f>
        <v>8088</v>
      </c>
      <c r="G27" s="36">
        <f t="shared" si="1"/>
        <v>10398</v>
      </c>
    </row>
    <row r="28" spans="1:7" ht="12.75">
      <c r="A28" s="1"/>
      <c r="C28" s="54" t="s">
        <v>31</v>
      </c>
      <c r="D28" s="11">
        <v>0.06</v>
      </c>
      <c r="E28" s="36">
        <f>$D$28*E$26</f>
        <v>2310</v>
      </c>
      <c r="F28" s="36">
        <f>$D$28*F$26</f>
        <v>8088</v>
      </c>
      <c r="G28" s="36">
        <f t="shared" si="1"/>
        <v>10398</v>
      </c>
    </row>
    <row r="29" spans="1:7" ht="12.75">
      <c r="A29" s="1"/>
      <c r="B29" s="1"/>
      <c r="C29" s="5"/>
      <c r="D29" s="1"/>
      <c r="E29" s="1"/>
      <c r="F29" s="1"/>
      <c r="G29" s="4"/>
    </row>
    <row r="30" spans="1:7" ht="13.5" thickBot="1">
      <c r="A30" s="1"/>
      <c r="B30" s="1"/>
      <c r="C30" s="19" t="s">
        <v>8</v>
      </c>
      <c r="D30" s="1"/>
      <c r="E30" s="57">
        <f>ROUND(SUM(E26:E29),-3)</f>
        <v>43000</v>
      </c>
      <c r="F30" s="57">
        <f>ROUND(SUM(F26:F29),-3)</f>
        <v>151000</v>
      </c>
      <c r="G30" s="57">
        <f>SUM(E30:F30)</f>
        <v>194000</v>
      </c>
    </row>
    <row r="31" spans="1:7" ht="13.5" thickTop="1">
      <c r="A31" s="1"/>
      <c r="B31" s="1"/>
      <c r="C31" s="19"/>
      <c r="D31" s="1"/>
      <c r="E31" s="15"/>
      <c r="F31" s="15"/>
      <c r="G31" s="15"/>
    </row>
    <row r="32" spans="1:7" ht="12.75">
      <c r="A32" s="1"/>
      <c r="B32" s="1"/>
      <c r="C32" s="4"/>
      <c r="D32" s="1"/>
      <c r="E32" s="1"/>
      <c r="G32" s="4"/>
    </row>
    <row r="33" spans="1:7" ht="13.5" thickBot="1">
      <c r="A33" s="26" t="s">
        <v>9</v>
      </c>
      <c r="B33" s="27" t="s">
        <v>57</v>
      </c>
      <c r="C33" s="28"/>
      <c r="D33" s="29"/>
      <c r="E33" s="44" t="str">
        <f>E6</f>
        <v>GROUP USE AREA</v>
      </c>
      <c r="F33" s="44" t="str">
        <f>F6</f>
        <v>CAMPGROUND</v>
      </c>
      <c r="G33" s="44" t="str">
        <f>G6</f>
        <v>TOTAL</v>
      </c>
    </row>
    <row r="34" spans="1:7" ht="12.75">
      <c r="A34" s="16"/>
      <c r="B34" s="25" t="s">
        <v>62</v>
      </c>
      <c r="C34" s="4"/>
      <c r="D34" s="1"/>
      <c r="E34" s="7">
        <v>1</v>
      </c>
      <c r="F34" s="7">
        <v>25</v>
      </c>
      <c r="G34" s="4"/>
    </row>
    <row r="35" spans="1:7" ht="12.75">
      <c r="A35" s="16"/>
      <c r="B35" s="25" t="s">
        <v>63</v>
      </c>
      <c r="C35" s="4"/>
      <c r="D35" s="1"/>
      <c r="E35" s="7">
        <v>60</v>
      </c>
      <c r="F35" s="7">
        <v>60</v>
      </c>
      <c r="G35" s="12"/>
    </row>
    <row r="36" spans="2:7" ht="12.75">
      <c r="B36" s="25" t="s">
        <v>43</v>
      </c>
      <c r="C36" s="8"/>
      <c r="D36" s="8"/>
      <c r="E36" s="8">
        <f>E34*E35*1</f>
        <v>60</v>
      </c>
      <c r="F36" s="8">
        <f>F34*F35*0.25</f>
        <v>375</v>
      </c>
      <c r="G36" s="8"/>
    </row>
    <row r="37" spans="2:7" ht="12.75">
      <c r="B37" s="25" t="s">
        <v>44</v>
      </c>
      <c r="C37" s="8"/>
      <c r="D37" s="8"/>
      <c r="E37" s="43">
        <v>15</v>
      </c>
      <c r="F37" s="43">
        <v>15</v>
      </c>
      <c r="G37" s="43"/>
    </row>
    <row r="38" spans="2:7" ht="12.75">
      <c r="B38" s="25" t="s">
        <v>45</v>
      </c>
      <c r="C38" s="8"/>
      <c r="D38" s="8"/>
      <c r="E38" s="37">
        <f>E36*E37</f>
        <v>900</v>
      </c>
      <c r="F38" s="37">
        <f>F36*F37</f>
        <v>5625</v>
      </c>
      <c r="G38" s="37">
        <f>SUM(E38:F38)</f>
        <v>6525</v>
      </c>
    </row>
    <row r="39" spans="2:7" ht="12.75">
      <c r="B39" s="25" t="s">
        <v>46</v>
      </c>
      <c r="C39" s="8"/>
      <c r="D39" s="33">
        <v>0.075</v>
      </c>
      <c r="E39" s="38">
        <f>ROUND(E38*$D$39,-2)</f>
        <v>100</v>
      </c>
      <c r="F39" s="38">
        <f>ROUND(F38*$D$39,-2)</f>
        <v>400</v>
      </c>
      <c r="G39" s="38">
        <f>SUM(D39:F39)</f>
        <v>500.075</v>
      </c>
    </row>
    <row r="40" spans="2:7" ht="12.75">
      <c r="B40" s="25" t="s">
        <v>47</v>
      </c>
      <c r="C40" s="8"/>
      <c r="D40" s="8"/>
      <c r="E40" s="42">
        <f>SUM(E38:E39)</f>
        <v>1000</v>
      </c>
      <c r="F40" s="42">
        <f>SUM(F38:F39)</f>
        <v>6025</v>
      </c>
      <c r="G40" s="42">
        <f aca="true" t="shared" si="2" ref="G40:G46">SUM(E40:F40)</f>
        <v>7025</v>
      </c>
    </row>
    <row r="41" spans="2:7" ht="12.75">
      <c r="B41" s="25" t="s">
        <v>48</v>
      </c>
      <c r="C41" s="8"/>
      <c r="D41" s="8"/>
      <c r="E41" s="39">
        <v>200</v>
      </c>
      <c r="F41" s="39">
        <v>250</v>
      </c>
      <c r="G41" s="39">
        <f t="shared" si="2"/>
        <v>450</v>
      </c>
    </row>
    <row r="42" spans="2:7" ht="12.75">
      <c r="B42" s="25" t="s">
        <v>49</v>
      </c>
      <c r="C42" s="8"/>
      <c r="D42" s="8"/>
      <c r="E42" s="39"/>
      <c r="F42" s="39"/>
      <c r="G42" s="39">
        <f t="shared" si="2"/>
        <v>0</v>
      </c>
    </row>
    <row r="43" spans="2:7" ht="12.75">
      <c r="B43" s="25" t="s">
        <v>160</v>
      </c>
      <c r="C43" s="8"/>
      <c r="D43" s="8"/>
      <c r="E43" s="39"/>
      <c r="F43" s="39"/>
      <c r="G43" s="39"/>
    </row>
    <row r="44" spans="2:7" ht="12.75">
      <c r="B44" s="25" t="s">
        <v>50</v>
      </c>
      <c r="C44" s="8"/>
      <c r="D44" s="8"/>
      <c r="E44" s="40">
        <v>250</v>
      </c>
      <c r="F44" s="40">
        <v>250</v>
      </c>
      <c r="G44" s="39">
        <f t="shared" si="2"/>
        <v>500</v>
      </c>
    </row>
    <row r="45" spans="2:7" ht="12.75">
      <c r="B45" s="25" t="s">
        <v>61</v>
      </c>
      <c r="C45" s="8"/>
      <c r="D45" s="33">
        <v>0.2</v>
      </c>
      <c r="E45" s="41">
        <f>ROUND(SUM(E40:E44)*$D$45,-2)</f>
        <v>300</v>
      </c>
      <c r="F45" s="41">
        <f>ROUND(SUM(F40:F44)*$D$45,-2)</f>
        <v>1300</v>
      </c>
      <c r="G45" s="41">
        <f t="shared" si="2"/>
        <v>1600</v>
      </c>
    </row>
    <row r="46" spans="2:7" ht="13.5" thickBot="1">
      <c r="B46" s="34" t="s">
        <v>51</v>
      </c>
      <c r="C46" s="8"/>
      <c r="D46" s="8"/>
      <c r="E46" s="58">
        <f>SUM(E40:E45)</f>
        <v>1750</v>
      </c>
      <c r="F46" s="58">
        <f>SUM(F40:F45)</f>
        <v>7825</v>
      </c>
      <c r="G46" s="58">
        <f t="shared" si="2"/>
        <v>9575</v>
      </c>
    </row>
    <row r="47" spans="2:7" ht="13.5" thickTop="1">
      <c r="B47" s="7"/>
      <c r="C47" s="8"/>
      <c r="D47" s="8"/>
      <c r="E47" s="8"/>
      <c r="F47" s="8"/>
      <c r="G47" s="12"/>
    </row>
    <row r="48" spans="2:7" ht="12.75">
      <c r="B48" s="7"/>
      <c r="C48" s="8"/>
      <c r="D48" s="8"/>
      <c r="E48" s="8"/>
      <c r="F48" s="8"/>
      <c r="G48" s="12"/>
    </row>
    <row r="49" spans="1:7" ht="13.5" thickBot="1">
      <c r="A49" s="26" t="s">
        <v>10</v>
      </c>
      <c r="B49" s="27" t="s">
        <v>58</v>
      </c>
      <c r="C49" s="30"/>
      <c r="D49" s="30"/>
      <c r="E49" s="44" t="str">
        <f>E33</f>
        <v>GROUP USE AREA</v>
      </c>
      <c r="F49" s="44" t="str">
        <f>F33</f>
        <v>CAMPGROUND</v>
      </c>
      <c r="G49" s="47" t="str">
        <f>G33</f>
        <v>TOTAL</v>
      </c>
    </row>
    <row r="50" spans="1:7" ht="12.75">
      <c r="A50" s="16"/>
      <c r="B50" s="25" t="s">
        <v>62</v>
      </c>
      <c r="C50" s="7"/>
      <c r="D50" s="7"/>
      <c r="E50" s="7">
        <v>1</v>
      </c>
      <c r="F50" s="7">
        <v>25</v>
      </c>
      <c r="G50" s="12"/>
    </row>
    <row r="51" spans="1:7" ht="12.75">
      <c r="A51" s="16"/>
      <c r="B51" s="25" t="s">
        <v>64</v>
      </c>
      <c r="C51" s="7"/>
      <c r="D51" s="7"/>
      <c r="E51" s="7">
        <v>60</v>
      </c>
      <c r="F51" s="7">
        <v>60</v>
      </c>
      <c r="G51" s="12"/>
    </row>
    <row r="52" spans="2:7" ht="12.75">
      <c r="B52" s="25" t="s">
        <v>65</v>
      </c>
      <c r="C52" s="8"/>
      <c r="D52" s="8"/>
      <c r="E52" s="31">
        <v>40</v>
      </c>
      <c r="F52" s="31">
        <v>12</v>
      </c>
      <c r="G52" s="12"/>
    </row>
    <row r="53" spans="2:7" ht="12.75">
      <c r="B53" s="25" t="s">
        <v>66</v>
      </c>
      <c r="C53" s="8"/>
      <c r="D53" s="8"/>
      <c r="E53" s="24">
        <v>1</v>
      </c>
      <c r="F53" s="24">
        <v>1</v>
      </c>
      <c r="G53" s="24"/>
    </row>
    <row r="54" spans="2:7" ht="13.5" thickBot="1">
      <c r="B54" s="34" t="s">
        <v>52</v>
      </c>
      <c r="C54" s="8"/>
      <c r="D54" s="8"/>
      <c r="E54" s="49">
        <f>E50*E51*E52*E53</f>
        <v>2400</v>
      </c>
      <c r="F54" s="49">
        <f>F50*F51*F52*F53</f>
        <v>18000</v>
      </c>
      <c r="G54" s="49">
        <f>SUM(E54:F54)</f>
        <v>20400</v>
      </c>
    </row>
    <row r="55" spans="2:7" ht="13.5" thickTop="1">
      <c r="B55" s="25"/>
      <c r="C55" s="8"/>
      <c r="D55" s="8"/>
      <c r="E55" s="8"/>
      <c r="F55" s="8"/>
      <c r="G55" s="8"/>
    </row>
    <row r="56" spans="2:7" ht="12.75">
      <c r="B56" s="25"/>
      <c r="C56" s="8"/>
      <c r="D56" s="8"/>
      <c r="E56" s="8"/>
      <c r="F56" s="8"/>
      <c r="G56" s="8"/>
    </row>
    <row r="57" spans="1:7" ht="13.5" thickBot="1">
      <c r="A57" s="26" t="s">
        <v>69</v>
      </c>
      <c r="B57" s="27" t="s">
        <v>68</v>
      </c>
      <c r="C57" s="30"/>
      <c r="D57" s="30"/>
      <c r="E57" s="44" t="str">
        <f>E49</f>
        <v>GROUP USE AREA</v>
      </c>
      <c r="F57" s="44" t="str">
        <f>F49</f>
        <v>CAMPGROUND</v>
      </c>
      <c r="G57" s="47" t="str">
        <f>G49</f>
        <v>TOTAL</v>
      </c>
    </row>
    <row r="58" spans="2:7" ht="12.75">
      <c r="B58" s="25" t="s">
        <v>53</v>
      </c>
      <c r="C58" s="8"/>
      <c r="D58" s="8"/>
      <c r="E58" s="48">
        <f>E54-E46</f>
        <v>650</v>
      </c>
      <c r="F58" s="48">
        <f>F54-F46</f>
        <v>10175</v>
      </c>
      <c r="G58" s="48">
        <f>G54-G46</f>
        <v>10825</v>
      </c>
    </row>
    <row r="59" spans="2:7" ht="12.75">
      <c r="B59" s="25" t="s">
        <v>54</v>
      </c>
      <c r="C59" s="8"/>
      <c r="D59" s="8"/>
      <c r="E59" s="50">
        <f>E30</f>
        <v>43000</v>
      </c>
      <c r="F59" s="50">
        <f>F30</f>
        <v>151000</v>
      </c>
      <c r="G59" s="50">
        <f>G30</f>
        <v>194000</v>
      </c>
    </row>
    <row r="60" spans="2:7" ht="12.75">
      <c r="B60" s="25" t="s">
        <v>55</v>
      </c>
      <c r="C60" s="8"/>
      <c r="D60" s="8"/>
      <c r="E60" s="20">
        <f>IF(ISERROR(E59/E58),0,E59/E58)</f>
        <v>66.15384615384616</v>
      </c>
      <c r="F60" s="20">
        <f>IF(ISERROR(F59/F58),0,F59/F58)</f>
        <v>14.84029484029484</v>
      </c>
      <c r="G60" s="20">
        <f>IF(ISERROR(G59/G58),0,G59/G58)</f>
        <v>17.92147806004619</v>
      </c>
    </row>
    <row r="61" spans="2:7" ht="12.75">
      <c r="B61" s="25" t="s">
        <v>80</v>
      </c>
      <c r="C61" s="8"/>
      <c r="D61" s="8"/>
      <c r="E61" s="32">
        <f>IF(ISERROR(E58/E59),0,E58/E59)</f>
        <v>0.015116279069767442</v>
      </c>
      <c r="F61" s="32">
        <f>IF(ISERROR(F58/F59),0,F58/F59)</f>
        <v>0.0673841059602649</v>
      </c>
      <c r="G61" s="32">
        <f>IF(ISERROR(G58/G59),0,G58/G59)</f>
        <v>0.05579896907216495</v>
      </c>
    </row>
    <row r="62" spans="2:7" ht="12.75">
      <c r="B62" s="25" t="s">
        <v>81</v>
      </c>
      <c r="C62" s="8"/>
      <c r="D62" s="8"/>
      <c r="E62" s="32">
        <f>IF(ISERROR(RATE($D$5,E58,-E59)),E61,RATE($D$5,E58,-E59))</f>
        <v>-0.044945179889827956</v>
      </c>
      <c r="F62" s="32">
        <f>IF(ISERROR(RATE($D$5,F58,-F59)),F61,RATE($D$5,F58,-F59))</f>
        <v>0.05312126707601923</v>
      </c>
      <c r="G62" s="32">
        <f>IF(ISERROR(RATE($D$5,G58,-G59)),G61,RATE($D$5,G58,-G59))</f>
        <v>0.03708221088643525</v>
      </c>
    </row>
    <row r="63" spans="2:7" ht="12.75">
      <c r="B63" s="25" t="s">
        <v>79</v>
      </c>
      <c r="C63" s="8"/>
      <c r="D63" s="8"/>
      <c r="E63" s="60">
        <f>ROUND(PV($D$4,$D$5,-E58)-E59,-3)</f>
        <v>-30000</v>
      </c>
      <c r="F63" s="60">
        <f>ROUND(PV($D$4,$D$5,-F58)-F59,-3)</f>
        <v>54000</v>
      </c>
      <c r="G63" s="60">
        <f>ROUND(PV($D$4,$D$5,-G58)-G59,-3)</f>
        <v>24000</v>
      </c>
    </row>
    <row r="64" spans="3:7" ht="12.75">
      <c r="C64" s="8"/>
      <c r="D64" s="8"/>
      <c r="E64" s="52"/>
      <c r="F64" s="8"/>
      <c r="G64" s="8"/>
    </row>
    <row r="65" spans="3:7" ht="12.75">
      <c r="C65" s="8"/>
      <c r="D65" s="8"/>
      <c r="E65" s="52"/>
      <c r="F65" s="8"/>
      <c r="G65" s="8"/>
    </row>
    <row r="66" spans="1:7" ht="13.5" thickBot="1">
      <c r="A66" s="26" t="s">
        <v>70</v>
      </c>
      <c r="B66" s="27" t="s">
        <v>60</v>
      </c>
      <c r="C66" s="30"/>
      <c r="D66" s="30"/>
      <c r="E66" s="44" t="str">
        <f>E57</f>
        <v>GROUP USE AREA</v>
      </c>
      <c r="F66" s="44" t="str">
        <f>F57</f>
        <v>CAMPGROUND</v>
      </c>
      <c r="G66" s="47" t="str">
        <f>G57</f>
        <v>TOTAL</v>
      </c>
    </row>
    <row r="67" spans="2:7" ht="12.75">
      <c r="B67" s="25" t="s">
        <v>74</v>
      </c>
      <c r="C67" s="8"/>
      <c r="D67" s="8"/>
      <c r="E67" s="48">
        <f>PMT($D$4,$D$5,-E30)+E46</f>
        <v>3887.4937468751787</v>
      </c>
      <c r="F67" s="48">
        <f>PMT($D$4,$D$5,-F30)+F46</f>
        <v>15331.082692515163</v>
      </c>
      <c r="G67" s="48">
        <f>PMT($D$4,$D$5,-G30)+G46</f>
        <v>19218.57643939034</v>
      </c>
    </row>
    <row r="68" spans="2:7" ht="12.75">
      <c r="B68" s="25" t="s">
        <v>73</v>
      </c>
      <c r="E68" s="53">
        <f>IF(ISERROR(E67/(E53*E52*E50)),0,E67/(E53*E52*E50))</f>
        <v>97.18734367187946</v>
      </c>
      <c r="F68" s="53">
        <f>IF(ISERROR(F67/(F53*F52*F50)),0,F67/(F53*F52*F50))</f>
        <v>51.10360897505054</v>
      </c>
      <c r="G68" s="20"/>
    </row>
    <row r="69" spans="2:6" ht="12.75">
      <c r="B69" s="25" t="s">
        <v>71</v>
      </c>
      <c r="E69" s="31">
        <f>IF(ISERROR((E67+E46)/(E50*E51*E53)),0,E67/(E50*E51*E53))</f>
        <v>64.79156244791965</v>
      </c>
      <c r="F69" s="31">
        <f>IF(ISERROR((F67+F46)/(F50*F51*F53)),0,F67/(F50*F51*F53))</f>
        <v>10.220721795010109</v>
      </c>
    </row>
    <row r="70" spans="2:6" ht="12.75">
      <c r="B70" s="25" t="s">
        <v>72</v>
      </c>
      <c r="E70" s="51">
        <f>IF(ISERROR(E67/(E52*E51*E50)),0,E67/(E52*E51*E50))</f>
        <v>1.619789061197991</v>
      </c>
      <c r="F70" s="51">
        <f>IF(ISERROR(F67/(F52*F51*F50)),0,F67/(F52*F51*F50))</f>
        <v>0.8517268162508425</v>
      </c>
    </row>
  </sheetData>
  <sheetProtection sheet="1" objects="1" scenarios="1" formatCells="0" formatColumns="0" formatRows="0" insertColumns="0" insertRows="0" insertHyperlinks="0" deleteColumns="0" deleteRows="0"/>
  <protectedRanges>
    <protectedRange sqref="A1:G2" name="Title"/>
    <protectedRange sqref="A6:G20" name="Breakdown by Facility"/>
    <protectedRange sqref="D22:D23 D25 D27:D28" name="Construction Percentages"/>
    <protectedRange sqref="D39 D45 E34:F37 E41:F44" name="Operating Costs"/>
    <protectedRange sqref="E50:F53" name="Revenue"/>
  </protectedRanges>
  <mergeCells count="3">
    <mergeCell ref="E5:G5"/>
    <mergeCell ref="A1:G1"/>
    <mergeCell ref="A2:G2"/>
  </mergeCells>
  <printOptions/>
  <pageMargins left="0.75" right="0.75" top="1" bottom="1" header="0.5" footer="0.5"/>
  <pageSetup firstPageNumber="22" useFirstPageNumber="1"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U70"/>
  <sheetViews>
    <sheetView workbookViewId="0" topLeftCell="A1">
      <selection activeCell="A1" sqref="A1:F1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14.8515625" style="0" customWidth="1"/>
    <col min="4" max="4" width="5.421875" style="0" customWidth="1"/>
    <col min="5" max="5" width="16.8515625" style="0" bestFit="1" customWidth="1"/>
    <col min="6" max="6" width="12.00390625" style="0" bestFit="1" customWidth="1"/>
  </cols>
  <sheetData>
    <row r="1" spans="1:6" ht="15.75">
      <c r="A1" s="108" t="s">
        <v>168</v>
      </c>
      <c r="B1" s="108"/>
      <c r="C1" s="108"/>
      <c r="D1" s="108"/>
      <c r="E1" s="108"/>
      <c r="F1" s="108"/>
    </row>
    <row r="2" spans="1:6" ht="15">
      <c r="A2" s="109" t="s">
        <v>38</v>
      </c>
      <c r="B2" s="109"/>
      <c r="C2" s="109"/>
      <c r="D2" s="109"/>
      <c r="E2" s="109"/>
      <c r="F2" s="109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7" t="s">
        <v>78</v>
      </c>
      <c r="D4" s="3">
        <v>0.028</v>
      </c>
      <c r="E4" s="1"/>
    </row>
    <row r="5" spans="1:6" ht="13.5" thickBot="1">
      <c r="A5" s="26" t="s">
        <v>4</v>
      </c>
      <c r="B5" s="26" t="s">
        <v>59</v>
      </c>
      <c r="C5" s="56" t="s">
        <v>0</v>
      </c>
      <c r="D5" s="29">
        <v>30</v>
      </c>
      <c r="E5" s="107" t="s">
        <v>56</v>
      </c>
      <c r="F5" s="107"/>
    </row>
    <row r="6" spans="1:6" ht="12.75">
      <c r="A6" s="1"/>
      <c r="B6" s="2" t="s">
        <v>1</v>
      </c>
      <c r="C6" s="2" t="s">
        <v>3</v>
      </c>
      <c r="D6" s="2" t="s">
        <v>2</v>
      </c>
      <c r="E6" s="23" t="s">
        <v>37</v>
      </c>
      <c r="F6" s="46" t="s">
        <v>42</v>
      </c>
    </row>
    <row r="7" spans="1:6" ht="12.75">
      <c r="A7" s="1">
        <v>1</v>
      </c>
      <c r="B7" s="7" t="s">
        <v>82</v>
      </c>
      <c r="C7" s="13">
        <v>0.32</v>
      </c>
      <c r="D7" s="7" t="s">
        <v>76</v>
      </c>
      <c r="E7" s="21"/>
      <c r="F7" s="35">
        <f aca="true" t="shared" si="0" ref="F7:F20">SUM(E7:E7)*C7</f>
        <v>0</v>
      </c>
    </row>
    <row r="8" spans="1:6" ht="12.75">
      <c r="A8" s="1">
        <v>2</v>
      </c>
      <c r="B8" s="7" t="s">
        <v>83</v>
      </c>
      <c r="C8" s="13">
        <v>0.32</v>
      </c>
      <c r="D8" s="7" t="s">
        <v>76</v>
      </c>
      <c r="E8" s="21">
        <v>1200</v>
      </c>
      <c r="F8" s="36">
        <f t="shared" si="0"/>
        <v>384</v>
      </c>
    </row>
    <row r="9" spans="1:6" ht="12.75">
      <c r="A9" s="1">
        <v>3</v>
      </c>
      <c r="B9" s="7" t="s">
        <v>19</v>
      </c>
      <c r="C9" s="13">
        <v>14.5</v>
      </c>
      <c r="D9" s="7" t="s">
        <v>23</v>
      </c>
      <c r="E9" s="21"/>
      <c r="F9" s="36">
        <f t="shared" si="0"/>
        <v>0</v>
      </c>
    </row>
    <row r="10" spans="1:6" ht="12.75">
      <c r="A10" s="9">
        <v>4</v>
      </c>
      <c r="B10" s="7" t="s">
        <v>20</v>
      </c>
      <c r="C10" s="13">
        <v>11400</v>
      </c>
      <c r="D10" s="7" t="s">
        <v>5</v>
      </c>
      <c r="E10" s="21"/>
      <c r="F10" s="36">
        <f t="shared" si="0"/>
        <v>0</v>
      </c>
    </row>
    <row r="11" spans="1:6" ht="12.75">
      <c r="A11" s="1">
        <v>5</v>
      </c>
      <c r="B11" s="7" t="s">
        <v>21</v>
      </c>
      <c r="C11" s="13">
        <v>8000</v>
      </c>
      <c r="D11" s="7" t="s">
        <v>6</v>
      </c>
      <c r="E11" s="21"/>
      <c r="F11" s="36">
        <f t="shared" si="0"/>
        <v>0</v>
      </c>
    </row>
    <row r="12" spans="1:6" ht="12.75">
      <c r="A12" s="9">
        <v>6</v>
      </c>
      <c r="B12" s="7" t="s">
        <v>84</v>
      </c>
      <c r="C12" s="13">
        <v>40000</v>
      </c>
      <c r="D12" s="7" t="s">
        <v>6</v>
      </c>
      <c r="E12" s="21"/>
      <c r="F12" s="36">
        <f t="shared" si="0"/>
        <v>0</v>
      </c>
    </row>
    <row r="13" spans="1:6" ht="12.75">
      <c r="A13" s="10">
        <v>7</v>
      </c>
      <c r="B13" s="7" t="s">
        <v>85</v>
      </c>
      <c r="C13" s="13">
        <v>20000</v>
      </c>
      <c r="D13" s="7" t="s">
        <v>6</v>
      </c>
      <c r="E13" s="21">
        <v>1</v>
      </c>
      <c r="F13" s="36">
        <f t="shared" si="0"/>
        <v>20000</v>
      </c>
    </row>
    <row r="14" spans="1:6" ht="12.75">
      <c r="A14" s="1">
        <v>8</v>
      </c>
      <c r="B14" s="7" t="s">
        <v>86</v>
      </c>
      <c r="C14" s="13">
        <v>2000</v>
      </c>
      <c r="D14" s="7" t="s">
        <v>6</v>
      </c>
      <c r="E14" s="21"/>
      <c r="F14" s="36">
        <f t="shared" si="0"/>
        <v>0</v>
      </c>
    </row>
    <row r="15" spans="1:6" ht="12.75">
      <c r="A15" s="1">
        <v>9</v>
      </c>
      <c r="B15" s="7" t="s">
        <v>88</v>
      </c>
      <c r="C15" s="13">
        <v>1500</v>
      </c>
      <c r="D15" s="7" t="s">
        <v>6</v>
      </c>
      <c r="E15" s="21">
        <v>3</v>
      </c>
      <c r="F15" s="36">
        <f t="shared" si="0"/>
        <v>4500</v>
      </c>
    </row>
    <row r="16" spans="1:6" ht="12.75">
      <c r="A16" s="1">
        <v>10</v>
      </c>
      <c r="B16" s="7" t="s">
        <v>89</v>
      </c>
      <c r="C16" s="13">
        <v>25000</v>
      </c>
      <c r="D16" s="7" t="s">
        <v>6</v>
      </c>
      <c r="E16" s="21"/>
      <c r="F16" s="36">
        <f t="shared" si="0"/>
        <v>0</v>
      </c>
    </row>
    <row r="17" spans="1:6" ht="12.75">
      <c r="A17" s="9">
        <v>11</v>
      </c>
      <c r="B17" s="7" t="s">
        <v>26</v>
      </c>
      <c r="C17" s="13">
        <v>27000</v>
      </c>
      <c r="D17" s="7" t="s">
        <v>5</v>
      </c>
      <c r="E17" s="21"/>
      <c r="F17" s="36">
        <f t="shared" si="0"/>
        <v>0</v>
      </c>
    </row>
    <row r="18" spans="1:229" ht="12.75">
      <c r="A18" s="10">
        <v>12</v>
      </c>
      <c r="B18" s="7" t="s">
        <v>36</v>
      </c>
      <c r="C18" s="13">
        <v>2.04</v>
      </c>
      <c r="D18" s="7" t="s">
        <v>75</v>
      </c>
      <c r="E18" s="21"/>
      <c r="F18" s="36">
        <f t="shared" si="0"/>
        <v>0</v>
      </c>
      <c r="G18" s="4"/>
      <c r="H18" s="6"/>
      <c r="I18" s="4"/>
      <c r="J18" s="10"/>
      <c r="K18" s="7"/>
      <c r="L18" s="7"/>
      <c r="M18" s="14"/>
      <c r="N18" s="13"/>
      <c r="O18" s="4"/>
      <c r="P18" s="6"/>
      <c r="Q18" s="4"/>
      <c r="R18" s="10"/>
      <c r="S18" s="7"/>
      <c r="T18" s="7"/>
      <c r="U18" s="14"/>
      <c r="V18" s="13"/>
      <c r="W18" s="4"/>
      <c r="X18" s="6"/>
      <c r="Y18" s="4"/>
      <c r="Z18" s="10"/>
      <c r="AA18" s="7"/>
      <c r="AB18" s="7"/>
      <c r="AC18" s="14"/>
      <c r="AD18" s="13"/>
      <c r="AE18" s="4"/>
      <c r="AF18" s="6"/>
      <c r="AG18" s="4"/>
      <c r="AH18" s="10"/>
      <c r="AI18" s="7"/>
      <c r="AJ18" s="7"/>
      <c r="AK18" s="14"/>
      <c r="AL18" s="13"/>
      <c r="AM18" s="4"/>
      <c r="AN18" s="6"/>
      <c r="AO18" s="4"/>
      <c r="AP18" s="10"/>
      <c r="AQ18" s="7"/>
      <c r="AR18" s="7"/>
      <c r="AS18" s="14"/>
      <c r="AT18" s="13"/>
      <c r="AU18" s="4"/>
      <c r="AV18" s="6"/>
      <c r="AW18" s="4"/>
      <c r="AX18" s="10"/>
      <c r="AY18" s="7"/>
      <c r="AZ18" s="7"/>
      <c r="BA18" s="14"/>
      <c r="BB18" s="13"/>
      <c r="BC18" s="4"/>
      <c r="BD18" s="6"/>
      <c r="BE18" s="4"/>
      <c r="BF18" s="10"/>
      <c r="BG18" s="7"/>
      <c r="BH18" s="7"/>
      <c r="BI18" s="14"/>
      <c r="BJ18" s="13"/>
      <c r="BK18" s="4"/>
      <c r="BL18" s="6"/>
      <c r="BM18" s="4"/>
      <c r="BN18" s="10"/>
      <c r="BO18" s="7"/>
      <c r="BP18" s="7"/>
      <c r="BQ18" s="14"/>
      <c r="BR18" s="13"/>
      <c r="BS18" s="4"/>
      <c r="BT18" s="6"/>
      <c r="BU18" s="4"/>
      <c r="BV18" s="10"/>
      <c r="BW18" s="7"/>
      <c r="BX18" s="7"/>
      <c r="BY18" s="14"/>
      <c r="BZ18" s="13"/>
      <c r="CA18" s="4"/>
      <c r="CB18" s="6"/>
      <c r="CC18" s="4"/>
      <c r="CD18" s="10"/>
      <c r="CE18" s="7"/>
      <c r="CF18" s="7"/>
      <c r="CG18" s="14"/>
      <c r="CH18" s="13"/>
      <c r="CI18" s="4"/>
      <c r="CJ18" s="6"/>
      <c r="CK18" s="4"/>
      <c r="CL18" s="10"/>
      <c r="CM18" s="7"/>
      <c r="CN18" s="7"/>
      <c r="CO18" s="14"/>
      <c r="CP18" s="13"/>
      <c r="CQ18" s="4"/>
      <c r="CR18" s="6"/>
      <c r="CS18" s="4"/>
      <c r="CT18" s="10"/>
      <c r="CU18" s="7"/>
      <c r="CV18" s="7"/>
      <c r="CW18" s="14"/>
      <c r="CX18" s="13"/>
      <c r="CY18" s="4"/>
      <c r="CZ18" s="6"/>
      <c r="DA18" s="4"/>
      <c r="DB18" s="10"/>
      <c r="DC18" s="7"/>
      <c r="DD18" s="7"/>
      <c r="DE18" s="14"/>
      <c r="DF18" s="13"/>
      <c r="DG18" s="4"/>
      <c r="DH18" s="6"/>
      <c r="DI18" s="4"/>
      <c r="DJ18" s="10"/>
      <c r="DK18" s="7"/>
      <c r="DL18" s="7"/>
      <c r="DM18" s="14"/>
      <c r="DN18" s="13"/>
      <c r="DO18" s="4"/>
      <c r="DP18" s="6"/>
      <c r="DQ18" s="4"/>
      <c r="DR18" s="10"/>
      <c r="DS18" s="7"/>
      <c r="DT18" s="7"/>
      <c r="DU18" s="14"/>
      <c r="DV18" s="13"/>
      <c r="DW18" s="4"/>
      <c r="DX18" s="6"/>
      <c r="DY18" s="4"/>
      <c r="DZ18" s="10"/>
      <c r="EA18" s="7"/>
      <c r="EB18" s="7"/>
      <c r="EC18" s="14"/>
      <c r="ED18" s="13"/>
      <c r="EE18" s="4"/>
      <c r="EF18" s="6"/>
      <c r="EG18" s="4"/>
      <c r="EH18" s="10"/>
      <c r="EI18" s="7"/>
      <c r="EJ18" s="7"/>
      <c r="EK18" s="14"/>
      <c r="EL18" s="13"/>
      <c r="EM18" s="4"/>
      <c r="EN18" s="6"/>
      <c r="EO18" s="4"/>
      <c r="EP18" s="10"/>
      <c r="EQ18" s="7"/>
      <c r="ER18" s="7"/>
      <c r="ES18" s="14"/>
      <c r="ET18" s="13"/>
      <c r="EU18" s="4"/>
      <c r="EV18" s="6"/>
      <c r="EW18" s="4"/>
      <c r="EX18" s="10"/>
      <c r="EY18" s="7"/>
      <c r="EZ18" s="7"/>
      <c r="FA18" s="14"/>
      <c r="FB18" s="13"/>
      <c r="FC18" s="4"/>
      <c r="FD18" s="6"/>
      <c r="FE18" s="4"/>
      <c r="FF18" s="10"/>
      <c r="FG18" s="7"/>
      <c r="FH18" s="7"/>
      <c r="FI18" s="14"/>
      <c r="FJ18" s="13"/>
      <c r="FK18" s="4"/>
      <c r="FL18" s="6"/>
      <c r="FM18" s="4"/>
      <c r="FN18" s="10"/>
      <c r="FO18" s="7"/>
      <c r="FP18" s="7"/>
      <c r="FQ18" s="14"/>
      <c r="FR18" s="13"/>
      <c r="FS18" s="4"/>
      <c r="FT18" s="6"/>
      <c r="FU18" s="4"/>
      <c r="FV18" s="10"/>
      <c r="FW18" s="7"/>
      <c r="FX18" s="7"/>
      <c r="FY18" s="14"/>
      <c r="FZ18" s="13"/>
      <c r="GA18" s="4"/>
      <c r="GB18" s="6"/>
      <c r="GC18" s="4"/>
      <c r="GD18" s="10"/>
      <c r="GE18" s="7"/>
      <c r="GF18" s="7"/>
      <c r="GG18" s="14"/>
      <c r="GH18" s="13"/>
      <c r="GI18" s="4"/>
      <c r="GJ18" s="6"/>
      <c r="GK18" s="4"/>
      <c r="GL18" s="10"/>
      <c r="GM18" s="7"/>
      <c r="GN18" s="7"/>
      <c r="GO18" s="14"/>
      <c r="GP18" s="13"/>
      <c r="GQ18" s="4"/>
      <c r="GR18" s="6"/>
      <c r="GS18" s="4"/>
      <c r="GT18" s="10"/>
      <c r="GU18" s="7"/>
      <c r="GV18" s="7"/>
      <c r="GW18" s="14"/>
      <c r="GX18" s="13"/>
      <c r="GY18" s="4"/>
      <c r="GZ18" s="6"/>
      <c r="HA18" s="4"/>
      <c r="HB18" s="10"/>
      <c r="HC18" s="7"/>
      <c r="HD18" s="7"/>
      <c r="HE18" s="14"/>
      <c r="HF18" s="13"/>
      <c r="HG18" s="4"/>
      <c r="HH18" s="6"/>
      <c r="HI18" s="4"/>
      <c r="HJ18" s="10"/>
      <c r="HK18" s="7"/>
      <c r="HL18" s="7"/>
      <c r="HM18" s="14"/>
      <c r="HN18" s="13"/>
      <c r="HO18" s="4"/>
      <c r="HP18" s="6"/>
      <c r="HQ18" s="4"/>
      <c r="HR18" s="10"/>
      <c r="HS18" s="7"/>
      <c r="HT18" s="7"/>
      <c r="HU18" s="14"/>
    </row>
    <row r="19" spans="1:229" ht="12.75">
      <c r="A19" s="10">
        <v>13</v>
      </c>
      <c r="B19" s="7" t="s">
        <v>39</v>
      </c>
      <c r="C19" s="13">
        <v>25</v>
      </c>
      <c r="D19" s="7" t="s">
        <v>77</v>
      </c>
      <c r="E19" s="21"/>
      <c r="F19" s="36">
        <f t="shared" si="0"/>
        <v>0</v>
      </c>
      <c r="G19" s="4"/>
      <c r="H19" s="6"/>
      <c r="I19" s="4"/>
      <c r="J19" s="10"/>
      <c r="K19" s="7"/>
      <c r="L19" s="7"/>
      <c r="M19" s="14"/>
      <c r="N19" s="13"/>
      <c r="O19" s="4"/>
      <c r="P19" s="6"/>
      <c r="Q19" s="4"/>
      <c r="R19" s="10"/>
      <c r="S19" s="7"/>
      <c r="T19" s="7"/>
      <c r="U19" s="14"/>
      <c r="V19" s="13"/>
      <c r="W19" s="4"/>
      <c r="X19" s="6"/>
      <c r="Y19" s="4"/>
      <c r="Z19" s="10"/>
      <c r="AA19" s="7"/>
      <c r="AB19" s="7"/>
      <c r="AC19" s="14"/>
      <c r="AD19" s="13"/>
      <c r="AE19" s="4"/>
      <c r="AF19" s="6"/>
      <c r="AG19" s="4"/>
      <c r="AH19" s="10"/>
      <c r="AI19" s="7"/>
      <c r="AJ19" s="7"/>
      <c r="AK19" s="14"/>
      <c r="AL19" s="13"/>
      <c r="AM19" s="4"/>
      <c r="AN19" s="6"/>
      <c r="AO19" s="4"/>
      <c r="AP19" s="10"/>
      <c r="AQ19" s="7"/>
      <c r="AR19" s="7"/>
      <c r="AS19" s="14"/>
      <c r="AT19" s="13"/>
      <c r="AU19" s="4"/>
      <c r="AV19" s="6"/>
      <c r="AW19" s="4"/>
      <c r="AX19" s="10"/>
      <c r="AY19" s="7"/>
      <c r="AZ19" s="7"/>
      <c r="BA19" s="14"/>
      <c r="BB19" s="13"/>
      <c r="BC19" s="4"/>
      <c r="BD19" s="6"/>
      <c r="BE19" s="4"/>
      <c r="BF19" s="10"/>
      <c r="BG19" s="7"/>
      <c r="BH19" s="7"/>
      <c r="BI19" s="14"/>
      <c r="BJ19" s="13"/>
      <c r="BK19" s="4"/>
      <c r="BL19" s="6"/>
      <c r="BM19" s="4"/>
      <c r="BN19" s="10"/>
      <c r="BO19" s="7"/>
      <c r="BP19" s="7"/>
      <c r="BQ19" s="14"/>
      <c r="BR19" s="13"/>
      <c r="BS19" s="4"/>
      <c r="BT19" s="6"/>
      <c r="BU19" s="4"/>
      <c r="BV19" s="10"/>
      <c r="BW19" s="7"/>
      <c r="BX19" s="7"/>
      <c r="BY19" s="14"/>
      <c r="BZ19" s="13"/>
      <c r="CA19" s="4"/>
      <c r="CB19" s="6"/>
      <c r="CC19" s="4"/>
      <c r="CD19" s="10"/>
      <c r="CE19" s="7"/>
      <c r="CF19" s="7"/>
      <c r="CG19" s="14"/>
      <c r="CH19" s="13"/>
      <c r="CI19" s="4"/>
      <c r="CJ19" s="6"/>
      <c r="CK19" s="4"/>
      <c r="CL19" s="10"/>
      <c r="CM19" s="7"/>
      <c r="CN19" s="7"/>
      <c r="CO19" s="14"/>
      <c r="CP19" s="13"/>
      <c r="CQ19" s="4"/>
      <c r="CR19" s="6"/>
      <c r="CS19" s="4"/>
      <c r="CT19" s="10"/>
      <c r="CU19" s="7"/>
      <c r="CV19" s="7"/>
      <c r="CW19" s="14"/>
      <c r="CX19" s="13"/>
      <c r="CY19" s="4"/>
      <c r="CZ19" s="6"/>
      <c r="DA19" s="4"/>
      <c r="DB19" s="10"/>
      <c r="DC19" s="7"/>
      <c r="DD19" s="7"/>
      <c r="DE19" s="14"/>
      <c r="DF19" s="13"/>
      <c r="DG19" s="4"/>
      <c r="DH19" s="6"/>
      <c r="DI19" s="4"/>
      <c r="DJ19" s="10"/>
      <c r="DK19" s="7"/>
      <c r="DL19" s="7"/>
      <c r="DM19" s="14"/>
      <c r="DN19" s="13"/>
      <c r="DO19" s="4"/>
      <c r="DP19" s="6"/>
      <c r="DQ19" s="4"/>
      <c r="DR19" s="10"/>
      <c r="DS19" s="7"/>
      <c r="DT19" s="7"/>
      <c r="DU19" s="14"/>
      <c r="DV19" s="13"/>
      <c r="DW19" s="4"/>
      <c r="DX19" s="6"/>
      <c r="DY19" s="4"/>
      <c r="DZ19" s="10"/>
      <c r="EA19" s="7"/>
      <c r="EB19" s="7"/>
      <c r="EC19" s="14"/>
      <c r="ED19" s="13"/>
      <c r="EE19" s="4"/>
      <c r="EF19" s="6"/>
      <c r="EG19" s="4"/>
      <c r="EH19" s="10"/>
      <c r="EI19" s="7"/>
      <c r="EJ19" s="7"/>
      <c r="EK19" s="14"/>
      <c r="EL19" s="13"/>
      <c r="EM19" s="4"/>
      <c r="EN19" s="6"/>
      <c r="EO19" s="4"/>
      <c r="EP19" s="10"/>
      <c r="EQ19" s="7"/>
      <c r="ER19" s="7"/>
      <c r="ES19" s="14"/>
      <c r="ET19" s="13"/>
      <c r="EU19" s="4"/>
      <c r="EV19" s="6"/>
      <c r="EW19" s="4"/>
      <c r="EX19" s="10"/>
      <c r="EY19" s="7"/>
      <c r="EZ19" s="7"/>
      <c r="FA19" s="14"/>
      <c r="FB19" s="13"/>
      <c r="FC19" s="4"/>
      <c r="FD19" s="6"/>
      <c r="FE19" s="4"/>
      <c r="FF19" s="10"/>
      <c r="FG19" s="7"/>
      <c r="FH19" s="7"/>
      <c r="FI19" s="14"/>
      <c r="FJ19" s="13"/>
      <c r="FK19" s="4"/>
      <c r="FL19" s="6"/>
      <c r="FM19" s="4"/>
      <c r="FN19" s="10"/>
      <c r="FO19" s="7"/>
      <c r="FP19" s="7"/>
      <c r="FQ19" s="14"/>
      <c r="FR19" s="13"/>
      <c r="FS19" s="4"/>
      <c r="FT19" s="6"/>
      <c r="FU19" s="4"/>
      <c r="FV19" s="10"/>
      <c r="FW19" s="7"/>
      <c r="FX19" s="7"/>
      <c r="FY19" s="14"/>
      <c r="FZ19" s="13"/>
      <c r="GA19" s="4"/>
      <c r="GB19" s="6"/>
      <c r="GC19" s="4"/>
      <c r="GD19" s="10"/>
      <c r="GE19" s="7"/>
      <c r="GF19" s="7"/>
      <c r="GG19" s="14"/>
      <c r="GH19" s="13"/>
      <c r="GI19" s="4"/>
      <c r="GJ19" s="6"/>
      <c r="GK19" s="4"/>
      <c r="GL19" s="10"/>
      <c r="GM19" s="7"/>
      <c r="GN19" s="7"/>
      <c r="GO19" s="14"/>
      <c r="GP19" s="13"/>
      <c r="GQ19" s="4"/>
      <c r="GR19" s="6"/>
      <c r="GS19" s="4"/>
      <c r="GT19" s="10"/>
      <c r="GU19" s="7"/>
      <c r="GV19" s="7"/>
      <c r="GW19" s="14"/>
      <c r="GX19" s="13"/>
      <c r="GY19" s="4"/>
      <c r="GZ19" s="6"/>
      <c r="HA19" s="4"/>
      <c r="HB19" s="10"/>
      <c r="HC19" s="7"/>
      <c r="HD19" s="7"/>
      <c r="HE19" s="14"/>
      <c r="HF19" s="13"/>
      <c r="HG19" s="4"/>
      <c r="HH19" s="6"/>
      <c r="HI19" s="4"/>
      <c r="HJ19" s="10"/>
      <c r="HK19" s="7"/>
      <c r="HL19" s="7"/>
      <c r="HM19" s="14"/>
      <c r="HN19" s="13"/>
      <c r="HO19" s="4"/>
      <c r="HP19" s="6"/>
      <c r="HQ19" s="4"/>
      <c r="HR19" s="10"/>
      <c r="HS19" s="7"/>
      <c r="HT19" s="7"/>
      <c r="HU19" s="14"/>
    </row>
    <row r="20" spans="1:6" ht="12.75">
      <c r="A20" s="9"/>
      <c r="B20" s="7"/>
      <c r="C20" s="4"/>
      <c r="D20" s="7"/>
      <c r="E20" s="1"/>
      <c r="F20" s="36">
        <f t="shared" si="0"/>
        <v>0</v>
      </c>
    </row>
    <row r="21" spans="1:6" ht="12.75">
      <c r="A21" s="9"/>
      <c r="B21" s="7"/>
      <c r="C21" s="19" t="s">
        <v>7</v>
      </c>
      <c r="D21" s="7"/>
      <c r="E21" s="59">
        <f>SUMPRODUCT($C$7:$C$19,E7:E19)</f>
        <v>24884</v>
      </c>
      <c r="F21" s="59">
        <f aca="true" t="shared" si="1" ref="F21:F28">SUM(E21:E21)</f>
        <v>24884</v>
      </c>
    </row>
    <row r="22" spans="1:6" ht="12.75">
      <c r="A22" s="9"/>
      <c r="C22" s="54" t="s">
        <v>11</v>
      </c>
      <c r="D22" s="11">
        <v>0.05</v>
      </c>
      <c r="E22" s="36">
        <f>$D$22*E21</f>
        <v>1244.2</v>
      </c>
      <c r="F22" s="36">
        <f t="shared" si="1"/>
        <v>1244.2</v>
      </c>
    </row>
    <row r="23" spans="1:6" ht="12.75">
      <c r="A23" s="9"/>
      <c r="C23" s="54" t="s">
        <v>12</v>
      </c>
      <c r="D23" s="11">
        <v>0.1</v>
      </c>
      <c r="E23" s="36">
        <f>E21*$D$23</f>
        <v>2488.4</v>
      </c>
      <c r="F23" s="36">
        <f t="shared" si="1"/>
        <v>2488.4</v>
      </c>
    </row>
    <row r="24" spans="1:6" ht="12.75">
      <c r="A24" s="9"/>
      <c r="B24" s="54"/>
      <c r="C24" s="18" t="s">
        <v>13</v>
      </c>
      <c r="D24" s="11"/>
      <c r="E24" s="59">
        <f>SUM(E21:E23)</f>
        <v>28616.600000000002</v>
      </c>
      <c r="F24" s="59">
        <f t="shared" si="1"/>
        <v>28616.600000000002</v>
      </c>
    </row>
    <row r="25" spans="1:6" ht="12.75">
      <c r="A25" s="9"/>
      <c r="C25" s="54" t="s">
        <v>14</v>
      </c>
      <c r="D25" s="11">
        <v>0.2</v>
      </c>
      <c r="E25" s="36">
        <f>$D$25*E$24</f>
        <v>5723.320000000001</v>
      </c>
      <c r="F25" s="36">
        <f t="shared" si="1"/>
        <v>5723.320000000001</v>
      </c>
    </row>
    <row r="26" spans="1:6" ht="12.75">
      <c r="A26" s="1"/>
      <c r="B26" s="55"/>
      <c r="C26" s="19" t="s">
        <v>15</v>
      </c>
      <c r="D26" s="1"/>
      <c r="E26" s="59">
        <f>ROUND(SUM(E24:E25),-2)</f>
        <v>34300</v>
      </c>
      <c r="F26" s="59">
        <f t="shared" si="1"/>
        <v>34300</v>
      </c>
    </row>
    <row r="27" spans="1:6" ht="12.75">
      <c r="A27" s="1"/>
      <c r="C27" s="54" t="s">
        <v>30</v>
      </c>
      <c r="D27" s="11">
        <v>0.06</v>
      </c>
      <c r="E27" s="36">
        <f>$D$27*E$26</f>
        <v>2058</v>
      </c>
      <c r="F27" s="36">
        <f t="shared" si="1"/>
        <v>2058</v>
      </c>
    </row>
    <row r="28" spans="1:6" ht="12.75">
      <c r="A28" s="1"/>
      <c r="C28" s="54" t="s">
        <v>31</v>
      </c>
      <c r="D28" s="11">
        <v>0.06</v>
      </c>
      <c r="E28" s="36">
        <f>$D$28*E$26</f>
        <v>2058</v>
      </c>
      <c r="F28" s="36">
        <f t="shared" si="1"/>
        <v>2058</v>
      </c>
    </row>
    <row r="29" spans="1:6" ht="12.75">
      <c r="A29" s="1"/>
      <c r="B29" s="1"/>
      <c r="C29" s="5"/>
      <c r="D29" s="1"/>
      <c r="E29" s="1"/>
      <c r="F29" s="4"/>
    </row>
    <row r="30" spans="1:6" ht="13.5" thickBot="1">
      <c r="A30" s="1"/>
      <c r="B30" s="1"/>
      <c r="C30" s="19" t="s">
        <v>8</v>
      </c>
      <c r="D30" s="1"/>
      <c r="E30" s="57">
        <f>ROUND(SUM(E26:E29),-3)</f>
        <v>38000</v>
      </c>
      <c r="F30" s="57">
        <f>SUM(E30:E30)</f>
        <v>38000</v>
      </c>
    </row>
    <row r="31" spans="1:6" ht="13.5" thickTop="1">
      <c r="A31" s="1"/>
      <c r="B31" s="1"/>
      <c r="C31" s="19"/>
      <c r="D31" s="1"/>
      <c r="E31" s="15"/>
      <c r="F31" s="15"/>
    </row>
    <row r="32" spans="1:6" ht="12.75">
      <c r="A32" s="1"/>
      <c r="B32" s="1"/>
      <c r="C32" s="4"/>
      <c r="D32" s="1"/>
      <c r="E32" s="1"/>
      <c r="F32" s="4"/>
    </row>
    <row r="33" spans="1:6" ht="13.5" thickBot="1">
      <c r="A33" s="26" t="s">
        <v>9</v>
      </c>
      <c r="B33" s="27" t="s">
        <v>57</v>
      </c>
      <c r="C33" s="28"/>
      <c r="D33" s="29"/>
      <c r="E33" s="44" t="str">
        <f>E6</f>
        <v>DAY USE AREA</v>
      </c>
      <c r="F33" s="44" t="str">
        <f>F6</f>
        <v>TOTAL</v>
      </c>
    </row>
    <row r="34" spans="1:6" ht="12.75">
      <c r="A34" s="16"/>
      <c r="B34" s="25" t="s">
        <v>62</v>
      </c>
      <c r="C34" s="4"/>
      <c r="D34" s="1"/>
      <c r="E34" s="7">
        <v>3</v>
      </c>
      <c r="F34" s="4"/>
    </row>
    <row r="35" spans="1:6" ht="12.75">
      <c r="A35" s="16"/>
      <c r="B35" s="25" t="s">
        <v>63</v>
      </c>
      <c r="C35" s="4"/>
      <c r="D35" s="1"/>
      <c r="E35" s="7">
        <v>60</v>
      </c>
      <c r="F35" s="12"/>
    </row>
    <row r="36" spans="2:6" ht="12.75">
      <c r="B36" s="25" t="s">
        <v>43</v>
      </c>
      <c r="C36" s="8"/>
      <c r="D36" s="8"/>
      <c r="E36" s="8">
        <f>E34*E35*0.25</f>
        <v>45</v>
      </c>
      <c r="F36" s="8"/>
    </row>
    <row r="37" spans="2:6" ht="12.75">
      <c r="B37" s="25" t="s">
        <v>44</v>
      </c>
      <c r="C37" s="8"/>
      <c r="D37" s="8"/>
      <c r="E37" s="43">
        <v>15</v>
      </c>
      <c r="F37" s="43"/>
    </row>
    <row r="38" spans="2:6" ht="12.75">
      <c r="B38" s="25" t="s">
        <v>45</v>
      </c>
      <c r="C38" s="8"/>
      <c r="D38" s="8"/>
      <c r="E38" s="37">
        <f>E36*E37</f>
        <v>675</v>
      </c>
      <c r="F38" s="37">
        <f>SUM(E38:E38)</f>
        <v>675</v>
      </c>
    </row>
    <row r="39" spans="2:6" ht="12.75">
      <c r="B39" s="25" t="s">
        <v>46</v>
      </c>
      <c r="C39" s="8"/>
      <c r="D39" s="33">
        <v>0.075</v>
      </c>
      <c r="E39" s="38">
        <f>ROUND(E38*$D$39,-2)</f>
        <v>100</v>
      </c>
      <c r="F39" s="38">
        <f>SUM(D39:E39)</f>
        <v>100.075</v>
      </c>
    </row>
    <row r="40" spans="2:6" ht="12.75">
      <c r="B40" s="25" t="s">
        <v>47</v>
      </c>
      <c r="C40" s="8"/>
      <c r="D40" s="8"/>
      <c r="E40" s="42">
        <f>SUM(E38:E39)</f>
        <v>775</v>
      </c>
      <c r="F40" s="42">
        <f aca="true" t="shared" si="2" ref="F40:F46">SUM(E40:E40)</f>
        <v>775</v>
      </c>
    </row>
    <row r="41" spans="2:6" ht="12.75">
      <c r="B41" s="25" t="s">
        <v>48</v>
      </c>
      <c r="C41" s="8"/>
      <c r="D41" s="8"/>
      <c r="E41" s="39">
        <v>200</v>
      </c>
      <c r="F41" s="39">
        <f t="shared" si="2"/>
        <v>200</v>
      </c>
    </row>
    <row r="42" spans="2:6" ht="12.75">
      <c r="B42" s="25" t="s">
        <v>49</v>
      </c>
      <c r="C42" s="8"/>
      <c r="D42" s="8"/>
      <c r="E42" s="39"/>
      <c r="F42" s="39">
        <f t="shared" si="2"/>
        <v>0</v>
      </c>
    </row>
    <row r="43" spans="2:6" ht="12.75">
      <c r="B43" s="25" t="s">
        <v>160</v>
      </c>
      <c r="C43" s="8"/>
      <c r="D43" s="8"/>
      <c r="E43" s="39"/>
      <c r="F43" s="39"/>
    </row>
    <row r="44" spans="2:6" ht="12.75">
      <c r="B44" s="25" t="s">
        <v>50</v>
      </c>
      <c r="C44" s="8"/>
      <c r="D44" s="8"/>
      <c r="E44" s="40">
        <v>250</v>
      </c>
      <c r="F44" s="39">
        <f t="shared" si="2"/>
        <v>250</v>
      </c>
    </row>
    <row r="45" spans="2:6" ht="12.75">
      <c r="B45" s="25" t="s">
        <v>61</v>
      </c>
      <c r="C45" s="8"/>
      <c r="D45" s="33">
        <v>0.2</v>
      </c>
      <c r="E45" s="41">
        <f>ROUND(SUM(E40:E44)*$D$45,-2)</f>
        <v>200</v>
      </c>
      <c r="F45" s="41">
        <f t="shared" si="2"/>
        <v>200</v>
      </c>
    </row>
    <row r="46" spans="2:6" ht="13.5" thickBot="1">
      <c r="B46" s="34" t="s">
        <v>51</v>
      </c>
      <c r="C46" s="8"/>
      <c r="D46" s="8"/>
      <c r="E46" s="58">
        <f>SUM(E40:E45)</f>
        <v>1425</v>
      </c>
      <c r="F46" s="58">
        <f t="shared" si="2"/>
        <v>1425</v>
      </c>
    </row>
    <row r="47" spans="2:6" ht="13.5" thickTop="1">
      <c r="B47" s="7"/>
      <c r="C47" s="8"/>
      <c r="D47" s="8"/>
      <c r="E47" s="8"/>
      <c r="F47" s="12"/>
    </row>
    <row r="48" spans="2:6" ht="12.75">
      <c r="B48" s="7"/>
      <c r="C48" s="8"/>
      <c r="D48" s="8"/>
      <c r="E48" s="8"/>
      <c r="F48" s="12"/>
    </row>
    <row r="49" spans="1:6" ht="13.5" thickBot="1">
      <c r="A49" s="26" t="s">
        <v>10</v>
      </c>
      <c r="B49" s="27" t="s">
        <v>58</v>
      </c>
      <c r="C49" s="30"/>
      <c r="D49" s="30"/>
      <c r="E49" s="44" t="str">
        <f>E33</f>
        <v>DAY USE AREA</v>
      </c>
      <c r="F49" s="47" t="str">
        <f>F33</f>
        <v>TOTAL</v>
      </c>
    </row>
    <row r="50" spans="1:6" ht="12.75">
      <c r="A50" s="16"/>
      <c r="B50" s="25" t="s">
        <v>62</v>
      </c>
      <c r="C50" s="7"/>
      <c r="D50" s="7"/>
      <c r="E50" s="7">
        <v>3</v>
      </c>
      <c r="F50" s="12"/>
    </row>
    <row r="51" spans="1:6" ht="12.75">
      <c r="A51" s="16"/>
      <c r="B51" s="25" t="s">
        <v>64</v>
      </c>
      <c r="C51" s="7"/>
      <c r="D51" s="7"/>
      <c r="E51" s="7">
        <v>60</v>
      </c>
      <c r="F51" s="12"/>
    </row>
    <row r="52" spans="2:6" ht="12.75">
      <c r="B52" s="25" t="s">
        <v>65</v>
      </c>
      <c r="C52" s="8"/>
      <c r="D52" s="8"/>
      <c r="E52" s="31">
        <v>7</v>
      </c>
      <c r="F52" s="12"/>
    </row>
    <row r="53" spans="2:6" ht="12.75">
      <c r="B53" s="25" t="s">
        <v>66</v>
      </c>
      <c r="C53" s="8"/>
      <c r="D53" s="8"/>
      <c r="E53" s="24">
        <v>1</v>
      </c>
      <c r="F53" s="24"/>
    </row>
    <row r="54" spans="2:6" ht="13.5" thickBot="1">
      <c r="B54" s="34" t="s">
        <v>52</v>
      </c>
      <c r="C54" s="8"/>
      <c r="D54" s="8"/>
      <c r="E54" s="49">
        <f>E50*E51*E52*E53</f>
        <v>1260</v>
      </c>
      <c r="F54" s="49">
        <f>SUM(E54:E54)</f>
        <v>1260</v>
      </c>
    </row>
    <row r="55" spans="2:6" ht="13.5" thickTop="1">
      <c r="B55" s="25"/>
      <c r="C55" s="8"/>
      <c r="D55" s="8"/>
      <c r="E55" s="8"/>
      <c r="F55" s="8"/>
    </row>
    <row r="56" spans="2:6" ht="12.75">
      <c r="B56" s="25"/>
      <c r="C56" s="8"/>
      <c r="D56" s="8"/>
      <c r="E56" s="8"/>
      <c r="F56" s="8"/>
    </row>
    <row r="57" spans="1:6" ht="13.5" thickBot="1">
      <c r="A57" s="26" t="s">
        <v>69</v>
      </c>
      <c r="B57" s="27" t="s">
        <v>68</v>
      </c>
      <c r="C57" s="30"/>
      <c r="D57" s="30"/>
      <c r="E57" s="44" t="str">
        <f>E49</f>
        <v>DAY USE AREA</v>
      </c>
      <c r="F57" s="47" t="str">
        <f>F49</f>
        <v>TOTAL</v>
      </c>
    </row>
    <row r="58" spans="2:6" ht="12.75">
      <c r="B58" s="25" t="s">
        <v>53</v>
      </c>
      <c r="C58" s="8"/>
      <c r="D58" s="8"/>
      <c r="E58" s="48">
        <f>E54-E46</f>
        <v>-165</v>
      </c>
      <c r="F58" s="48">
        <f>F54-F46</f>
        <v>-165</v>
      </c>
    </row>
    <row r="59" spans="2:6" ht="12.75">
      <c r="B59" s="25" t="s">
        <v>54</v>
      </c>
      <c r="C59" s="8"/>
      <c r="D59" s="8"/>
      <c r="E59" s="50">
        <f>E30</f>
        <v>38000</v>
      </c>
      <c r="F59" s="50">
        <f>F30</f>
        <v>38000</v>
      </c>
    </row>
    <row r="60" spans="2:6" ht="12.75">
      <c r="B60" s="25" t="s">
        <v>55</v>
      </c>
      <c r="C60" s="8"/>
      <c r="D60" s="8"/>
      <c r="E60" s="20">
        <f>IF(ISERROR(E59/E58),0,E59/E58)</f>
        <v>-230.3030303030303</v>
      </c>
      <c r="F60" s="20">
        <f>IF(ISERROR(F59/F58),0,F59/F58)</f>
        <v>-230.3030303030303</v>
      </c>
    </row>
    <row r="61" spans="2:6" ht="12.75">
      <c r="B61" s="25" t="s">
        <v>80</v>
      </c>
      <c r="C61" s="8"/>
      <c r="D61" s="8"/>
      <c r="E61" s="32">
        <f>IF(ISERROR(E58/E59),0,E58/E59)</f>
        <v>-0.0043421052631578945</v>
      </c>
      <c r="F61" s="32">
        <f>IF(ISERROR(F58/F59),0,F58/F59)</f>
        <v>-0.0043421052631578945</v>
      </c>
    </row>
    <row r="62" spans="2:6" ht="12.75">
      <c r="B62" s="25" t="s">
        <v>81</v>
      </c>
      <c r="C62" s="8"/>
      <c r="D62" s="8"/>
      <c r="E62" s="32">
        <f>IF(ISERROR(RATE($D$5,E58,-E59)),E61,RATE($D$5,E58,-E59))</f>
        <v>-0.0043421052631578945</v>
      </c>
      <c r="F62" s="32">
        <f>IF(ISERROR(RATE($D$5,F58,-F59)),F61,RATE($D$5,F58,-F59))</f>
        <v>-0.0043421052631578945</v>
      </c>
    </row>
    <row r="63" spans="2:6" ht="12.75">
      <c r="B63" s="25" t="s">
        <v>79</v>
      </c>
      <c r="C63" s="8"/>
      <c r="D63" s="8"/>
      <c r="E63" s="60">
        <f>ROUND(PV($D$4,$D$5,-E58)-E59,-3)</f>
        <v>-41000</v>
      </c>
      <c r="F63" s="60">
        <f>ROUND(PV($D$4,$D$5,-F58)-F59,-3)</f>
        <v>-41000</v>
      </c>
    </row>
    <row r="64" spans="3:6" ht="12.75">
      <c r="C64" s="8"/>
      <c r="D64" s="8"/>
      <c r="E64" s="52"/>
      <c r="F64" s="8"/>
    </row>
    <row r="65" spans="3:6" ht="12.75">
      <c r="C65" s="8"/>
      <c r="D65" s="8"/>
      <c r="E65" s="52"/>
      <c r="F65" s="8"/>
    </row>
    <row r="66" spans="1:6" ht="13.5" thickBot="1">
      <c r="A66" s="26" t="s">
        <v>70</v>
      </c>
      <c r="B66" s="27" t="s">
        <v>60</v>
      </c>
      <c r="C66" s="30"/>
      <c r="D66" s="30"/>
      <c r="E66" s="44" t="str">
        <f>E57</f>
        <v>DAY USE AREA</v>
      </c>
      <c r="F66" s="47" t="str">
        <f>F57</f>
        <v>TOTAL</v>
      </c>
    </row>
    <row r="67" spans="2:6" ht="12.75">
      <c r="B67" s="25" t="s">
        <v>74</v>
      </c>
      <c r="C67" s="8"/>
      <c r="D67" s="8"/>
      <c r="E67" s="48">
        <f>PMT($D$4,$D$5,-E30)+E46</f>
        <v>3313.9479623548086</v>
      </c>
      <c r="F67" s="48">
        <f>PMT($D$4,$D$5,-F30)+F46</f>
        <v>3313.9479623548086</v>
      </c>
    </row>
    <row r="68" spans="2:6" ht="12.75">
      <c r="B68" s="25" t="s">
        <v>73</v>
      </c>
      <c r="E68" s="53">
        <f>IF(ISERROR(E67/(E53*E52*E50)),0,E67/(E53*E52*E50))</f>
        <v>157.80704582641945</v>
      </c>
      <c r="F68" s="20"/>
    </row>
    <row r="69" spans="2:5" ht="12.75">
      <c r="B69" s="25" t="s">
        <v>71</v>
      </c>
      <c r="E69" s="31">
        <f>IF(ISERROR((E67+E46)/(E50*E51*E53)),0,E67/(E50*E51*E53))</f>
        <v>18.41082201308227</v>
      </c>
    </row>
    <row r="70" spans="2:5" ht="12.75">
      <c r="B70" s="25" t="s">
        <v>72</v>
      </c>
      <c r="E70" s="51">
        <f>IF(ISERROR(E67/(E52*E51*E50)),0,E67/(E52*E51*E50))</f>
        <v>2.630117430440324</v>
      </c>
    </row>
  </sheetData>
  <sheetProtection sheet="1" objects="1" scenarios="1" formatCells="0" formatColumns="0" formatRows="0" insertColumns="0" insertRows="0" insertHyperlinks="0" deleteColumns="0" deleteRows="0"/>
  <protectedRanges>
    <protectedRange sqref="A1:F2" name="Title"/>
    <protectedRange sqref="A6:F20" name="Breakdown by Facility"/>
    <protectedRange sqref="D22:D23 D25 D27:D28" name="Construction Percentages"/>
    <protectedRange sqref="D39 D45 E41:E44 E34:E37" name="Operating Costs"/>
    <protectedRange sqref="E50:E53" name="Revenue"/>
  </protectedRanges>
  <mergeCells count="3">
    <mergeCell ref="E5:F5"/>
    <mergeCell ref="A1:F1"/>
    <mergeCell ref="A2:F2"/>
  </mergeCells>
  <printOptions/>
  <pageMargins left="0.75" right="0.75" top="1" bottom="1" header="0.5" footer="0.5"/>
  <pageSetup firstPageNumber="22" useFirstPageNumber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U70"/>
  <sheetViews>
    <sheetView workbookViewId="0" topLeftCell="A1">
      <selection activeCell="A1" sqref="A1:F1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14.8515625" style="0" customWidth="1"/>
    <col min="4" max="4" width="5.421875" style="0" customWidth="1"/>
    <col min="5" max="5" width="16.8515625" style="0" bestFit="1" customWidth="1"/>
    <col min="6" max="6" width="12.00390625" style="0" bestFit="1" customWidth="1"/>
  </cols>
  <sheetData>
    <row r="1" spans="1:6" ht="15.75">
      <c r="A1" s="108" t="s">
        <v>169</v>
      </c>
      <c r="B1" s="108"/>
      <c r="C1" s="108"/>
      <c r="D1" s="108"/>
      <c r="E1" s="108"/>
      <c r="F1" s="108"/>
    </row>
    <row r="2" spans="1:6" ht="15">
      <c r="A2" s="109" t="s">
        <v>38</v>
      </c>
      <c r="B2" s="109"/>
      <c r="C2" s="109"/>
      <c r="D2" s="109"/>
      <c r="E2" s="109"/>
      <c r="F2" s="109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7" t="s">
        <v>78</v>
      </c>
      <c r="D4" s="3">
        <v>0.028</v>
      </c>
      <c r="E4" s="1"/>
    </row>
    <row r="5" spans="1:6" ht="13.5" thickBot="1">
      <c r="A5" s="26" t="s">
        <v>4</v>
      </c>
      <c r="B5" s="26" t="s">
        <v>59</v>
      </c>
      <c r="C5" s="56" t="s">
        <v>0</v>
      </c>
      <c r="D5" s="29">
        <v>30</v>
      </c>
      <c r="E5" s="107" t="s">
        <v>56</v>
      </c>
      <c r="F5" s="107"/>
    </row>
    <row r="6" spans="1:6" ht="12.75">
      <c r="A6" s="1"/>
      <c r="B6" s="2" t="s">
        <v>1</v>
      </c>
      <c r="C6" s="2" t="s">
        <v>3</v>
      </c>
      <c r="D6" s="2" t="s">
        <v>2</v>
      </c>
      <c r="E6" s="23" t="s">
        <v>37</v>
      </c>
      <c r="F6" s="46" t="s">
        <v>42</v>
      </c>
    </row>
    <row r="7" spans="1:6" ht="12.75">
      <c r="A7" s="1">
        <v>1</v>
      </c>
      <c r="B7" s="7" t="s">
        <v>82</v>
      </c>
      <c r="C7" s="13">
        <v>0.32</v>
      </c>
      <c r="D7" s="7" t="s">
        <v>76</v>
      </c>
      <c r="E7" s="21"/>
      <c r="F7" s="35">
        <f aca="true" t="shared" si="0" ref="F7:F20">SUM(E7:E7)*C7</f>
        <v>0</v>
      </c>
    </row>
    <row r="8" spans="1:6" ht="12.75">
      <c r="A8" s="1">
        <v>2</v>
      </c>
      <c r="B8" s="7" t="s">
        <v>83</v>
      </c>
      <c r="C8" s="13">
        <v>0.32</v>
      </c>
      <c r="D8" s="7" t="s">
        <v>76</v>
      </c>
      <c r="E8" s="21">
        <v>2000</v>
      </c>
      <c r="F8" s="36">
        <f t="shared" si="0"/>
        <v>640</v>
      </c>
    </row>
    <row r="9" spans="1:6" ht="12.75">
      <c r="A9" s="1">
        <v>3</v>
      </c>
      <c r="B9" s="7" t="s">
        <v>19</v>
      </c>
      <c r="C9" s="13">
        <v>14.5</v>
      </c>
      <c r="D9" s="7" t="s">
        <v>23</v>
      </c>
      <c r="E9" s="21"/>
      <c r="F9" s="36">
        <f t="shared" si="0"/>
        <v>0</v>
      </c>
    </row>
    <row r="10" spans="1:6" ht="12.75">
      <c r="A10" s="9">
        <v>4</v>
      </c>
      <c r="B10" s="7" t="s">
        <v>20</v>
      </c>
      <c r="C10" s="13">
        <v>11400</v>
      </c>
      <c r="D10" s="7" t="s">
        <v>5</v>
      </c>
      <c r="E10" s="21"/>
      <c r="F10" s="36">
        <f t="shared" si="0"/>
        <v>0</v>
      </c>
    </row>
    <row r="11" spans="1:6" ht="12.75">
      <c r="A11" s="1">
        <v>5</v>
      </c>
      <c r="B11" s="7" t="s">
        <v>21</v>
      </c>
      <c r="C11" s="13">
        <v>8000</v>
      </c>
      <c r="D11" s="7" t="s">
        <v>6</v>
      </c>
      <c r="E11" s="21"/>
      <c r="F11" s="36">
        <f t="shared" si="0"/>
        <v>0</v>
      </c>
    </row>
    <row r="12" spans="1:6" ht="12.75">
      <c r="A12" s="9">
        <v>6</v>
      </c>
      <c r="B12" s="7" t="s">
        <v>84</v>
      </c>
      <c r="C12" s="13">
        <v>40000</v>
      </c>
      <c r="D12" s="7" t="s">
        <v>6</v>
      </c>
      <c r="E12" s="21"/>
      <c r="F12" s="36">
        <f t="shared" si="0"/>
        <v>0</v>
      </c>
    </row>
    <row r="13" spans="1:6" ht="12.75">
      <c r="A13" s="10">
        <v>7</v>
      </c>
      <c r="B13" s="7" t="s">
        <v>85</v>
      </c>
      <c r="C13" s="13">
        <v>20000</v>
      </c>
      <c r="D13" s="7" t="s">
        <v>6</v>
      </c>
      <c r="E13" s="21">
        <v>1</v>
      </c>
      <c r="F13" s="36">
        <f t="shared" si="0"/>
        <v>20000</v>
      </c>
    </row>
    <row r="14" spans="1:6" ht="12.75">
      <c r="A14" s="1">
        <v>8</v>
      </c>
      <c r="B14" s="7" t="s">
        <v>86</v>
      </c>
      <c r="C14" s="13">
        <v>2000</v>
      </c>
      <c r="D14" s="7" t="s">
        <v>6</v>
      </c>
      <c r="E14" s="21"/>
      <c r="F14" s="36">
        <f t="shared" si="0"/>
        <v>0</v>
      </c>
    </row>
    <row r="15" spans="1:6" ht="12.75">
      <c r="A15" s="1">
        <v>9</v>
      </c>
      <c r="B15" s="7" t="s">
        <v>88</v>
      </c>
      <c r="C15" s="13">
        <v>1500</v>
      </c>
      <c r="D15" s="7" t="s">
        <v>6</v>
      </c>
      <c r="E15" s="21">
        <v>5</v>
      </c>
      <c r="F15" s="36">
        <f t="shared" si="0"/>
        <v>7500</v>
      </c>
    </row>
    <row r="16" spans="1:6" ht="12.75">
      <c r="A16" s="1">
        <v>10</v>
      </c>
      <c r="B16" s="7" t="s">
        <v>89</v>
      </c>
      <c r="C16" s="13">
        <v>25000</v>
      </c>
      <c r="D16" s="7" t="s">
        <v>6</v>
      </c>
      <c r="E16" s="21"/>
      <c r="F16" s="36">
        <f t="shared" si="0"/>
        <v>0</v>
      </c>
    </row>
    <row r="17" spans="1:6" ht="12.75">
      <c r="A17" s="9">
        <v>11</v>
      </c>
      <c r="B17" s="7" t="s">
        <v>26</v>
      </c>
      <c r="C17" s="13">
        <v>27000</v>
      </c>
      <c r="D17" s="7" t="s">
        <v>5</v>
      </c>
      <c r="E17" s="21"/>
      <c r="F17" s="36">
        <f t="shared" si="0"/>
        <v>0</v>
      </c>
    </row>
    <row r="18" spans="1:229" ht="12.75">
      <c r="A18" s="10">
        <v>12</v>
      </c>
      <c r="B18" s="7" t="s">
        <v>36</v>
      </c>
      <c r="C18" s="13">
        <v>2.04</v>
      </c>
      <c r="D18" s="7" t="s">
        <v>75</v>
      </c>
      <c r="E18" s="21"/>
      <c r="F18" s="36">
        <f t="shared" si="0"/>
        <v>0</v>
      </c>
      <c r="G18" s="4"/>
      <c r="H18" s="6"/>
      <c r="I18" s="4"/>
      <c r="J18" s="10"/>
      <c r="K18" s="7"/>
      <c r="L18" s="7"/>
      <c r="M18" s="14"/>
      <c r="N18" s="13"/>
      <c r="O18" s="4"/>
      <c r="P18" s="6"/>
      <c r="Q18" s="4"/>
      <c r="R18" s="10"/>
      <c r="S18" s="7"/>
      <c r="T18" s="7"/>
      <c r="U18" s="14"/>
      <c r="V18" s="13"/>
      <c r="W18" s="4"/>
      <c r="X18" s="6"/>
      <c r="Y18" s="4"/>
      <c r="Z18" s="10"/>
      <c r="AA18" s="7"/>
      <c r="AB18" s="7"/>
      <c r="AC18" s="14"/>
      <c r="AD18" s="13"/>
      <c r="AE18" s="4"/>
      <c r="AF18" s="6"/>
      <c r="AG18" s="4"/>
      <c r="AH18" s="10"/>
      <c r="AI18" s="7"/>
      <c r="AJ18" s="7"/>
      <c r="AK18" s="14"/>
      <c r="AL18" s="13"/>
      <c r="AM18" s="4"/>
      <c r="AN18" s="6"/>
      <c r="AO18" s="4"/>
      <c r="AP18" s="10"/>
      <c r="AQ18" s="7"/>
      <c r="AR18" s="7"/>
      <c r="AS18" s="14"/>
      <c r="AT18" s="13"/>
      <c r="AU18" s="4"/>
      <c r="AV18" s="6"/>
      <c r="AW18" s="4"/>
      <c r="AX18" s="10"/>
      <c r="AY18" s="7"/>
      <c r="AZ18" s="7"/>
      <c r="BA18" s="14"/>
      <c r="BB18" s="13"/>
      <c r="BC18" s="4"/>
      <c r="BD18" s="6"/>
      <c r="BE18" s="4"/>
      <c r="BF18" s="10"/>
      <c r="BG18" s="7"/>
      <c r="BH18" s="7"/>
      <c r="BI18" s="14"/>
      <c r="BJ18" s="13"/>
      <c r="BK18" s="4"/>
      <c r="BL18" s="6"/>
      <c r="BM18" s="4"/>
      <c r="BN18" s="10"/>
      <c r="BO18" s="7"/>
      <c r="BP18" s="7"/>
      <c r="BQ18" s="14"/>
      <c r="BR18" s="13"/>
      <c r="BS18" s="4"/>
      <c r="BT18" s="6"/>
      <c r="BU18" s="4"/>
      <c r="BV18" s="10"/>
      <c r="BW18" s="7"/>
      <c r="BX18" s="7"/>
      <c r="BY18" s="14"/>
      <c r="BZ18" s="13"/>
      <c r="CA18" s="4"/>
      <c r="CB18" s="6"/>
      <c r="CC18" s="4"/>
      <c r="CD18" s="10"/>
      <c r="CE18" s="7"/>
      <c r="CF18" s="7"/>
      <c r="CG18" s="14"/>
      <c r="CH18" s="13"/>
      <c r="CI18" s="4"/>
      <c r="CJ18" s="6"/>
      <c r="CK18" s="4"/>
      <c r="CL18" s="10"/>
      <c r="CM18" s="7"/>
      <c r="CN18" s="7"/>
      <c r="CO18" s="14"/>
      <c r="CP18" s="13"/>
      <c r="CQ18" s="4"/>
      <c r="CR18" s="6"/>
      <c r="CS18" s="4"/>
      <c r="CT18" s="10"/>
      <c r="CU18" s="7"/>
      <c r="CV18" s="7"/>
      <c r="CW18" s="14"/>
      <c r="CX18" s="13"/>
      <c r="CY18" s="4"/>
      <c r="CZ18" s="6"/>
      <c r="DA18" s="4"/>
      <c r="DB18" s="10"/>
      <c r="DC18" s="7"/>
      <c r="DD18" s="7"/>
      <c r="DE18" s="14"/>
      <c r="DF18" s="13"/>
      <c r="DG18" s="4"/>
      <c r="DH18" s="6"/>
      <c r="DI18" s="4"/>
      <c r="DJ18" s="10"/>
      <c r="DK18" s="7"/>
      <c r="DL18" s="7"/>
      <c r="DM18" s="14"/>
      <c r="DN18" s="13"/>
      <c r="DO18" s="4"/>
      <c r="DP18" s="6"/>
      <c r="DQ18" s="4"/>
      <c r="DR18" s="10"/>
      <c r="DS18" s="7"/>
      <c r="DT18" s="7"/>
      <c r="DU18" s="14"/>
      <c r="DV18" s="13"/>
      <c r="DW18" s="4"/>
      <c r="DX18" s="6"/>
      <c r="DY18" s="4"/>
      <c r="DZ18" s="10"/>
      <c r="EA18" s="7"/>
      <c r="EB18" s="7"/>
      <c r="EC18" s="14"/>
      <c r="ED18" s="13"/>
      <c r="EE18" s="4"/>
      <c r="EF18" s="6"/>
      <c r="EG18" s="4"/>
      <c r="EH18" s="10"/>
      <c r="EI18" s="7"/>
      <c r="EJ18" s="7"/>
      <c r="EK18" s="14"/>
      <c r="EL18" s="13"/>
      <c r="EM18" s="4"/>
      <c r="EN18" s="6"/>
      <c r="EO18" s="4"/>
      <c r="EP18" s="10"/>
      <c r="EQ18" s="7"/>
      <c r="ER18" s="7"/>
      <c r="ES18" s="14"/>
      <c r="ET18" s="13"/>
      <c r="EU18" s="4"/>
      <c r="EV18" s="6"/>
      <c r="EW18" s="4"/>
      <c r="EX18" s="10"/>
      <c r="EY18" s="7"/>
      <c r="EZ18" s="7"/>
      <c r="FA18" s="14"/>
      <c r="FB18" s="13"/>
      <c r="FC18" s="4"/>
      <c r="FD18" s="6"/>
      <c r="FE18" s="4"/>
      <c r="FF18" s="10"/>
      <c r="FG18" s="7"/>
      <c r="FH18" s="7"/>
      <c r="FI18" s="14"/>
      <c r="FJ18" s="13"/>
      <c r="FK18" s="4"/>
      <c r="FL18" s="6"/>
      <c r="FM18" s="4"/>
      <c r="FN18" s="10"/>
      <c r="FO18" s="7"/>
      <c r="FP18" s="7"/>
      <c r="FQ18" s="14"/>
      <c r="FR18" s="13"/>
      <c r="FS18" s="4"/>
      <c r="FT18" s="6"/>
      <c r="FU18" s="4"/>
      <c r="FV18" s="10"/>
      <c r="FW18" s="7"/>
      <c r="FX18" s="7"/>
      <c r="FY18" s="14"/>
      <c r="FZ18" s="13"/>
      <c r="GA18" s="4"/>
      <c r="GB18" s="6"/>
      <c r="GC18" s="4"/>
      <c r="GD18" s="10"/>
      <c r="GE18" s="7"/>
      <c r="GF18" s="7"/>
      <c r="GG18" s="14"/>
      <c r="GH18" s="13"/>
      <c r="GI18" s="4"/>
      <c r="GJ18" s="6"/>
      <c r="GK18" s="4"/>
      <c r="GL18" s="10"/>
      <c r="GM18" s="7"/>
      <c r="GN18" s="7"/>
      <c r="GO18" s="14"/>
      <c r="GP18" s="13"/>
      <c r="GQ18" s="4"/>
      <c r="GR18" s="6"/>
      <c r="GS18" s="4"/>
      <c r="GT18" s="10"/>
      <c r="GU18" s="7"/>
      <c r="GV18" s="7"/>
      <c r="GW18" s="14"/>
      <c r="GX18" s="13"/>
      <c r="GY18" s="4"/>
      <c r="GZ18" s="6"/>
      <c r="HA18" s="4"/>
      <c r="HB18" s="10"/>
      <c r="HC18" s="7"/>
      <c r="HD18" s="7"/>
      <c r="HE18" s="14"/>
      <c r="HF18" s="13"/>
      <c r="HG18" s="4"/>
      <c r="HH18" s="6"/>
      <c r="HI18" s="4"/>
      <c r="HJ18" s="10"/>
      <c r="HK18" s="7"/>
      <c r="HL18" s="7"/>
      <c r="HM18" s="14"/>
      <c r="HN18" s="13"/>
      <c r="HO18" s="4"/>
      <c r="HP18" s="6"/>
      <c r="HQ18" s="4"/>
      <c r="HR18" s="10"/>
      <c r="HS18" s="7"/>
      <c r="HT18" s="7"/>
      <c r="HU18" s="14"/>
    </row>
    <row r="19" spans="1:229" ht="12.75">
      <c r="A19" s="10">
        <v>13</v>
      </c>
      <c r="B19" s="7" t="s">
        <v>39</v>
      </c>
      <c r="C19" s="13">
        <v>25</v>
      </c>
      <c r="D19" s="7" t="s">
        <v>77</v>
      </c>
      <c r="E19" s="21"/>
      <c r="F19" s="36">
        <f t="shared" si="0"/>
        <v>0</v>
      </c>
      <c r="G19" s="4"/>
      <c r="H19" s="6"/>
      <c r="I19" s="4"/>
      <c r="J19" s="10"/>
      <c r="K19" s="7"/>
      <c r="L19" s="7"/>
      <c r="M19" s="14"/>
      <c r="N19" s="13"/>
      <c r="O19" s="4"/>
      <c r="P19" s="6"/>
      <c r="Q19" s="4"/>
      <c r="R19" s="10"/>
      <c r="S19" s="7"/>
      <c r="T19" s="7"/>
      <c r="U19" s="14"/>
      <c r="V19" s="13"/>
      <c r="W19" s="4"/>
      <c r="X19" s="6"/>
      <c r="Y19" s="4"/>
      <c r="Z19" s="10"/>
      <c r="AA19" s="7"/>
      <c r="AB19" s="7"/>
      <c r="AC19" s="14"/>
      <c r="AD19" s="13"/>
      <c r="AE19" s="4"/>
      <c r="AF19" s="6"/>
      <c r="AG19" s="4"/>
      <c r="AH19" s="10"/>
      <c r="AI19" s="7"/>
      <c r="AJ19" s="7"/>
      <c r="AK19" s="14"/>
      <c r="AL19" s="13"/>
      <c r="AM19" s="4"/>
      <c r="AN19" s="6"/>
      <c r="AO19" s="4"/>
      <c r="AP19" s="10"/>
      <c r="AQ19" s="7"/>
      <c r="AR19" s="7"/>
      <c r="AS19" s="14"/>
      <c r="AT19" s="13"/>
      <c r="AU19" s="4"/>
      <c r="AV19" s="6"/>
      <c r="AW19" s="4"/>
      <c r="AX19" s="10"/>
      <c r="AY19" s="7"/>
      <c r="AZ19" s="7"/>
      <c r="BA19" s="14"/>
      <c r="BB19" s="13"/>
      <c r="BC19" s="4"/>
      <c r="BD19" s="6"/>
      <c r="BE19" s="4"/>
      <c r="BF19" s="10"/>
      <c r="BG19" s="7"/>
      <c r="BH19" s="7"/>
      <c r="BI19" s="14"/>
      <c r="BJ19" s="13"/>
      <c r="BK19" s="4"/>
      <c r="BL19" s="6"/>
      <c r="BM19" s="4"/>
      <c r="BN19" s="10"/>
      <c r="BO19" s="7"/>
      <c r="BP19" s="7"/>
      <c r="BQ19" s="14"/>
      <c r="BR19" s="13"/>
      <c r="BS19" s="4"/>
      <c r="BT19" s="6"/>
      <c r="BU19" s="4"/>
      <c r="BV19" s="10"/>
      <c r="BW19" s="7"/>
      <c r="BX19" s="7"/>
      <c r="BY19" s="14"/>
      <c r="BZ19" s="13"/>
      <c r="CA19" s="4"/>
      <c r="CB19" s="6"/>
      <c r="CC19" s="4"/>
      <c r="CD19" s="10"/>
      <c r="CE19" s="7"/>
      <c r="CF19" s="7"/>
      <c r="CG19" s="14"/>
      <c r="CH19" s="13"/>
      <c r="CI19" s="4"/>
      <c r="CJ19" s="6"/>
      <c r="CK19" s="4"/>
      <c r="CL19" s="10"/>
      <c r="CM19" s="7"/>
      <c r="CN19" s="7"/>
      <c r="CO19" s="14"/>
      <c r="CP19" s="13"/>
      <c r="CQ19" s="4"/>
      <c r="CR19" s="6"/>
      <c r="CS19" s="4"/>
      <c r="CT19" s="10"/>
      <c r="CU19" s="7"/>
      <c r="CV19" s="7"/>
      <c r="CW19" s="14"/>
      <c r="CX19" s="13"/>
      <c r="CY19" s="4"/>
      <c r="CZ19" s="6"/>
      <c r="DA19" s="4"/>
      <c r="DB19" s="10"/>
      <c r="DC19" s="7"/>
      <c r="DD19" s="7"/>
      <c r="DE19" s="14"/>
      <c r="DF19" s="13"/>
      <c r="DG19" s="4"/>
      <c r="DH19" s="6"/>
      <c r="DI19" s="4"/>
      <c r="DJ19" s="10"/>
      <c r="DK19" s="7"/>
      <c r="DL19" s="7"/>
      <c r="DM19" s="14"/>
      <c r="DN19" s="13"/>
      <c r="DO19" s="4"/>
      <c r="DP19" s="6"/>
      <c r="DQ19" s="4"/>
      <c r="DR19" s="10"/>
      <c r="DS19" s="7"/>
      <c r="DT19" s="7"/>
      <c r="DU19" s="14"/>
      <c r="DV19" s="13"/>
      <c r="DW19" s="4"/>
      <c r="DX19" s="6"/>
      <c r="DY19" s="4"/>
      <c r="DZ19" s="10"/>
      <c r="EA19" s="7"/>
      <c r="EB19" s="7"/>
      <c r="EC19" s="14"/>
      <c r="ED19" s="13"/>
      <c r="EE19" s="4"/>
      <c r="EF19" s="6"/>
      <c r="EG19" s="4"/>
      <c r="EH19" s="10"/>
      <c r="EI19" s="7"/>
      <c r="EJ19" s="7"/>
      <c r="EK19" s="14"/>
      <c r="EL19" s="13"/>
      <c r="EM19" s="4"/>
      <c r="EN19" s="6"/>
      <c r="EO19" s="4"/>
      <c r="EP19" s="10"/>
      <c r="EQ19" s="7"/>
      <c r="ER19" s="7"/>
      <c r="ES19" s="14"/>
      <c r="ET19" s="13"/>
      <c r="EU19" s="4"/>
      <c r="EV19" s="6"/>
      <c r="EW19" s="4"/>
      <c r="EX19" s="10"/>
      <c r="EY19" s="7"/>
      <c r="EZ19" s="7"/>
      <c r="FA19" s="14"/>
      <c r="FB19" s="13"/>
      <c r="FC19" s="4"/>
      <c r="FD19" s="6"/>
      <c r="FE19" s="4"/>
      <c r="FF19" s="10"/>
      <c r="FG19" s="7"/>
      <c r="FH19" s="7"/>
      <c r="FI19" s="14"/>
      <c r="FJ19" s="13"/>
      <c r="FK19" s="4"/>
      <c r="FL19" s="6"/>
      <c r="FM19" s="4"/>
      <c r="FN19" s="10"/>
      <c r="FO19" s="7"/>
      <c r="FP19" s="7"/>
      <c r="FQ19" s="14"/>
      <c r="FR19" s="13"/>
      <c r="FS19" s="4"/>
      <c r="FT19" s="6"/>
      <c r="FU19" s="4"/>
      <c r="FV19" s="10"/>
      <c r="FW19" s="7"/>
      <c r="FX19" s="7"/>
      <c r="FY19" s="14"/>
      <c r="FZ19" s="13"/>
      <c r="GA19" s="4"/>
      <c r="GB19" s="6"/>
      <c r="GC19" s="4"/>
      <c r="GD19" s="10"/>
      <c r="GE19" s="7"/>
      <c r="GF19" s="7"/>
      <c r="GG19" s="14"/>
      <c r="GH19" s="13"/>
      <c r="GI19" s="4"/>
      <c r="GJ19" s="6"/>
      <c r="GK19" s="4"/>
      <c r="GL19" s="10"/>
      <c r="GM19" s="7"/>
      <c r="GN19" s="7"/>
      <c r="GO19" s="14"/>
      <c r="GP19" s="13"/>
      <c r="GQ19" s="4"/>
      <c r="GR19" s="6"/>
      <c r="GS19" s="4"/>
      <c r="GT19" s="10"/>
      <c r="GU19" s="7"/>
      <c r="GV19" s="7"/>
      <c r="GW19" s="14"/>
      <c r="GX19" s="13"/>
      <c r="GY19" s="4"/>
      <c r="GZ19" s="6"/>
      <c r="HA19" s="4"/>
      <c r="HB19" s="10"/>
      <c r="HC19" s="7"/>
      <c r="HD19" s="7"/>
      <c r="HE19" s="14"/>
      <c r="HF19" s="13"/>
      <c r="HG19" s="4"/>
      <c r="HH19" s="6"/>
      <c r="HI19" s="4"/>
      <c r="HJ19" s="10"/>
      <c r="HK19" s="7"/>
      <c r="HL19" s="7"/>
      <c r="HM19" s="14"/>
      <c r="HN19" s="13"/>
      <c r="HO19" s="4"/>
      <c r="HP19" s="6"/>
      <c r="HQ19" s="4"/>
      <c r="HR19" s="10"/>
      <c r="HS19" s="7"/>
      <c r="HT19" s="7"/>
      <c r="HU19" s="14"/>
    </row>
    <row r="20" spans="1:6" ht="12.75">
      <c r="A20" s="9"/>
      <c r="B20" s="7"/>
      <c r="C20" s="4"/>
      <c r="D20" s="7"/>
      <c r="E20" s="1"/>
      <c r="F20" s="36">
        <f t="shared" si="0"/>
        <v>0</v>
      </c>
    </row>
    <row r="21" spans="1:6" ht="12.75">
      <c r="A21" s="9"/>
      <c r="B21" s="7"/>
      <c r="C21" s="19" t="s">
        <v>7</v>
      </c>
      <c r="D21" s="7"/>
      <c r="E21" s="59">
        <f>SUMPRODUCT($C$7:$C$19,E7:E19)</f>
        <v>28140</v>
      </c>
      <c r="F21" s="59">
        <f aca="true" t="shared" si="1" ref="F21:F28">SUM(E21:E21)</f>
        <v>28140</v>
      </c>
    </row>
    <row r="22" spans="1:6" ht="12.75">
      <c r="A22" s="9"/>
      <c r="C22" s="54" t="s">
        <v>11</v>
      </c>
      <c r="D22" s="11">
        <v>0.05</v>
      </c>
      <c r="E22" s="36">
        <f>$D$22*E21</f>
        <v>1407</v>
      </c>
      <c r="F22" s="36">
        <f t="shared" si="1"/>
        <v>1407</v>
      </c>
    </row>
    <row r="23" spans="1:6" ht="12.75">
      <c r="A23" s="9"/>
      <c r="C23" s="54" t="s">
        <v>12</v>
      </c>
      <c r="D23" s="11">
        <v>0.1</v>
      </c>
      <c r="E23" s="36">
        <f>E21*$D$23</f>
        <v>2814</v>
      </c>
      <c r="F23" s="36">
        <f t="shared" si="1"/>
        <v>2814</v>
      </c>
    </row>
    <row r="24" spans="1:6" ht="12.75">
      <c r="A24" s="9"/>
      <c r="B24" s="54"/>
      <c r="C24" s="18" t="s">
        <v>13</v>
      </c>
      <c r="D24" s="11"/>
      <c r="E24" s="59">
        <f>SUM(E21:E23)</f>
        <v>32361</v>
      </c>
      <c r="F24" s="59">
        <f t="shared" si="1"/>
        <v>32361</v>
      </c>
    </row>
    <row r="25" spans="1:6" ht="12.75">
      <c r="A25" s="9"/>
      <c r="C25" s="54" t="s">
        <v>14</v>
      </c>
      <c r="D25" s="11">
        <v>0.2</v>
      </c>
      <c r="E25" s="36">
        <f>$D$25*E$24</f>
        <v>6472.200000000001</v>
      </c>
      <c r="F25" s="36">
        <f t="shared" si="1"/>
        <v>6472.200000000001</v>
      </c>
    </row>
    <row r="26" spans="1:6" ht="12.75">
      <c r="A26" s="1"/>
      <c r="B26" s="55"/>
      <c r="C26" s="19" t="s">
        <v>15</v>
      </c>
      <c r="D26" s="1"/>
      <c r="E26" s="59">
        <f>ROUND(SUM(E24:E25),-2)</f>
        <v>38800</v>
      </c>
      <c r="F26" s="59">
        <f t="shared" si="1"/>
        <v>38800</v>
      </c>
    </row>
    <row r="27" spans="1:6" ht="12.75">
      <c r="A27" s="1"/>
      <c r="C27" s="54" t="s">
        <v>30</v>
      </c>
      <c r="D27" s="11">
        <v>0.06</v>
      </c>
      <c r="E27" s="36">
        <f>$D$27*E$26</f>
        <v>2328</v>
      </c>
      <c r="F27" s="36">
        <f t="shared" si="1"/>
        <v>2328</v>
      </c>
    </row>
    <row r="28" spans="1:6" ht="12.75">
      <c r="A28" s="1"/>
      <c r="C28" s="54" t="s">
        <v>31</v>
      </c>
      <c r="D28" s="11">
        <v>0.06</v>
      </c>
      <c r="E28" s="36">
        <f>$D$28*E$26</f>
        <v>2328</v>
      </c>
      <c r="F28" s="36">
        <f t="shared" si="1"/>
        <v>2328</v>
      </c>
    </row>
    <row r="29" spans="1:6" ht="12.75">
      <c r="A29" s="1"/>
      <c r="B29" s="1"/>
      <c r="C29" s="5"/>
      <c r="D29" s="1"/>
      <c r="E29" s="1"/>
      <c r="F29" s="4"/>
    </row>
    <row r="30" spans="1:6" ht="13.5" thickBot="1">
      <c r="A30" s="1"/>
      <c r="B30" s="1"/>
      <c r="C30" s="19" t="s">
        <v>8</v>
      </c>
      <c r="D30" s="1"/>
      <c r="E30" s="57">
        <f>ROUND(SUM(E26:E29),-3)</f>
        <v>43000</v>
      </c>
      <c r="F30" s="57">
        <f>SUM(E30:E30)</f>
        <v>43000</v>
      </c>
    </row>
    <row r="31" spans="1:6" ht="13.5" thickTop="1">
      <c r="A31" s="1"/>
      <c r="B31" s="1"/>
      <c r="C31" s="19"/>
      <c r="D31" s="1"/>
      <c r="E31" s="15"/>
      <c r="F31" s="15"/>
    </row>
    <row r="32" spans="1:6" ht="12.75">
      <c r="A32" s="1"/>
      <c r="B32" s="1"/>
      <c r="C32" s="4"/>
      <c r="D32" s="1"/>
      <c r="E32" s="1"/>
      <c r="F32" s="4"/>
    </row>
    <row r="33" spans="1:6" ht="13.5" thickBot="1">
      <c r="A33" s="26" t="s">
        <v>9</v>
      </c>
      <c r="B33" s="27" t="s">
        <v>57</v>
      </c>
      <c r="C33" s="28"/>
      <c r="D33" s="29"/>
      <c r="E33" s="44" t="str">
        <f>E6</f>
        <v>DAY USE AREA</v>
      </c>
      <c r="F33" s="44" t="str">
        <f>F6</f>
        <v>TOTAL</v>
      </c>
    </row>
    <row r="34" spans="1:6" ht="12.75">
      <c r="A34" s="16"/>
      <c r="B34" s="25" t="s">
        <v>62</v>
      </c>
      <c r="C34" s="4"/>
      <c r="D34" s="1"/>
      <c r="E34" s="7">
        <v>5</v>
      </c>
      <c r="F34" s="4"/>
    </row>
    <row r="35" spans="1:6" ht="12.75">
      <c r="A35" s="16"/>
      <c r="B35" s="25" t="s">
        <v>63</v>
      </c>
      <c r="C35" s="4"/>
      <c r="D35" s="1"/>
      <c r="E35" s="7">
        <v>60</v>
      </c>
      <c r="F35" s="12"/>
    </row>
    <row r="36" spans="2:6" ht="12.75">
      <c r="B36" s="25" t="s">
        <v>43</v>
      </c>
      <c r="C36" s="8"/>
      <c r="D36" s="8"/>
      <c r="E36" s="8">
        <f>E34*E35*0.25</f>
        <v>75</v>
      </c>
      <c r="F36" s="8"/>
    </row>
    <row r="37" spans="2:6" ht="12.75">
      <c r="B37" s="25" t="s">
        <v>44</v>
      </c>
      <c r="C37" s="8"/>
      <c r="D37" s="8"/>
      <c r="E37" s="43">
        <v>15</v>
      </c>
      <c r="F37" s="43"/>
    </row>
    <row r="38" spans="2:6" ht="12.75">
      <c r="B38" s="25" t="s">
        <v>45</v>
      </c>
      <c r="C38" s="8"/>
      <c r="D38" s="8"/>
      <c r="E38" s="37">
        <f>E36*E37</f>
        <v>1125</v>
      </c>
      <c r="F38" s="37">
        <f>SUM(E38:E38)</f>
        <v>1125</v>
      </c>
    </row>
    <row r="39" spans="2:6" ht="12.75">
      <c r="B39" s="25" t="s">
        <v>46</v>
      </c>
      <c r="C39" s="8"/>
      <c r="D39" s="33">
        <v>0.075</v>
      </c>
      <c r="E39" s="38">
        <f>ROUND(E38*$D$39,-2)</f>
        <v>100</v>
      </c>
      <c r="F39" s="38">
        <f>SUM(D39:E39)</f>
        <v>100.075</v>
      </c>
    </row>
    <row r="40" spans="2:6" ht="12.75">
      <c r="B40" s="25" t="s">
        <v>47</v>
      </c>
      <c r="C40" s="8"/>
      <c r="D40" s="8"/>
      <c r="E40" s="42">
        <f>SUM(E38:E39)</f>
        <v>1225</v>
      </c>
      <c r="F40" s="42">
        <f aca="true" t="shared" si="2" ref="F40:F46">SUM(E40:E40)</f>
        <v>1225</v>
      </c>
    </row>
    <row r="41" spans="2:6" ht="12.75">
      <c r="B41" s="25" t="s">
        <v>48</v>
      </c>
      <c r="C41" s="8"/>
      <c r="D41" s="8"/>
      <c r="E41" s="39">
        <v>200</v>
      </c>
      <c r="F41" s="39">
        <f t="shared" si="2"/>
        <v>200</v>
      </c>
    </row>
    <row r="42" spans="2:6" ht="12.75">
      <c r="B42" s="25" t="s">
        <v>49</v>
      </c>
      <c r="C42" s="8"/>
      <c r="D42" s="8"/>
      <c r="E42" s="39"/>
      <c r="F42" s="39">
        <f t="shared" si="2"/>
        <v>0</v>
      </c>
    </row>
    <row r="43" spans="2:6" ht="12.75">
      <c r="B43" s="25" t="s">
        <v>160</v>
      </c>
      <c r="C43" s="8"/>
      <c r="D43" s="8"/>
      <c r="E43" s="39"/>
      <c r="F43" s="39"/>
    </row>
    <row r="44" spans="2:6" ht="12.75">
      <c r="B44" s="25" t="s">
        <v>50</v>
      </c>
      <c r="C44" s="8"/>
      <c r="D44" s="8"/>
      <c r="E44" s="40">
        <v>250</v>
      </c>
      <c r="F44" s="39">
        <f t="shared" si="2"/>
        <v>250</v>
      </c>
    </row>
    <row r="45" spans="2:6" ht="12.75">
      <c r="B45" s="25" t="s">
        <v>61</v>
      </c>
      <c r="C45" s="8"/>
      <c r="D45" s="33">
        <v>0.2</v>
      </c>
      <c r="E45" s="41">
        <f>ROUND(SUM(E40:E44)*$D$45,-2)</f>
        <v>300</v>
      </c>
      <c r="F45" s="41">
        <f t="shared" si="2"/>
        <v>300</v>
      </c>
    </row>
    <row r="46" spans="2:6" ht="13.5" thickBot="1">
      <c r="B46" s="34" t="s">
        <v>51</v>
      </c>
      <c r="C46" s="8"/>
      <c r="D46" s="8"/>
      <c r="E46" s="58">
        <f>SUM(E40:E45)</f>
        <v>1975</v>
      </c>
      <c r="F46" s="58">
        <f t="shared" si="2"/>
        <v>1975</v>
      </c>
    </row>
    <row r="47" spans="2:6" ht="13.5" thickTop="1">
      <c r="B47" s="7"/>
      <c r="C47" s="8"/>
      <c r="D47" s="8"/>
      <c r="E47" s="8"/>
      <c r="F47" s="12"/>
    </row>
    <row r="48" spans="2:6" ht="12.75">
      <c r="B48" s="7"/>
      <c r="C48" s="8"/>
      <c r="D48" s="8"/>
      <c r="E48" s="8"/>
      <c r="F48" s="12"/>
    </row>
    <row r="49" spans="1:6" ht="13.5" thickBot="1">
      <c r="A49" s="26" t="s">
        <v>10</v>
      </c>
      <c r="B49" s="27" t="s">
        <v>58</v>
      </c>
      <c r="C49" s="30"/>
      <c r="D49" s="30"/>
      <c r="E49" s="44" t="str">
        <f>E33</f>
        <v>DAY USE AREA</v>
      </c>
      <c r="F49" s="47" t="str">
        <f>F33</f>
        <v>TOTAL</v>
      </c>
    </row>
    <row r="50" spans="1:6" ht="12.75">
      <c r="A50" s="16"/>
      <c r="B50" s="25" t="s">
        <v>62</v>
      </c>
      <c r="C50" s="7"/>
      <c r="D50" s="7"/>
      <c r="E50" s="7">
        <v>5</v>
      </c>
      <c r="F50" s="12"/>
    </row>
    <row r="51" spans="1:6" ht="12.75">
      <c r="A51" s="16"/>
      <c r="B51" s="25" t="s">
        <v>64</v>
      </c>
      <c r="C51" s="7"/>
      <c r="D51" s="7"/>
      <c r="E51" s="7">
        <v>60</v>
      </c>
      <c r="F51" s="12"/>
    </row>
    <row r="52" spans="2:6" ht="12.75">
      <c r="B52" s="25" t="s">
        <v>65</v>
      </c>
      <c r="C52" s="8"/>
      <c r="D52" s="8"/>
      <c r="E52" s="31">
        <v>7</v>
      </c>
      <c r="F52" s="12"/>
    </row>
    <row r="53" spans="2:6" ht="12.75">
      <c r="B53" s="25" t="s">
        <v>66</v>
      </c>
      <c r="C53" s="8"/>
      <c r="D53" s="8"/>
      <c r="E53" s="24">
        <v>1</v>
      </c>
      <c r="F53" s="24"/>
    </row>
    <row r="54" spans="2:6" ht="13.5" thickBot="1">
      <c r="B54" s="34" t="s">
        <v>52</v>
      </c>
      <c r="C54" s="8"/>
      <c r="D54" s="8"/>
      <c r="E54" s="49">
        <f>E50*E51*E52*E53</f>
        <v>2100</v>
      </c>
      <c r="F54" s="49">
        <f>SUM(E54:E54)</f>
        <v>2100</v>
      </c>
    </row>
    <row r="55" spans="2:6" ht="13.5" thickTop="1">
      <c r="B55" s="25"/>
      <c r="C55" s="8"/>
      <c r="D55" s="8"/>
      <c r="E55" s="8"/>
      <c r="F55" s="8"/>
    </row>
    <row r="56" spans="2:6" ht="12.75">
      <c r="B56" s="25"/>
      <c r="C56" s="8"/>
      <c r="D56" s="8"/>
      <c r="E56" s="8"/>
      <c r="F56" s="8"/>
    </row>
    <row r="57" spans="1:6" ht="13.5" thickBot="1">
      <c r="A57" s="26" t="s">
        <v>69</v>
      </c>
      <c r="B57" s="27" t="s">
        <v>68</v>
      </c>
      <c r="C57" s="30"/>
      <c r="D57" s="30"/>
      <c r="E57" s="44" t="str">
        <f>E49</f>
        <v>DAY USE AREA</v>
      </c>
      <c r="F57" s="47" t="str">
        <f>F49</f>
        <v>TOTAL</v>
      </c>
    </row>
    <row r="58" spans="2:6" ht="12.75">
      <c r="B58" s="25" t="s">
        <v>53</v>
      </c>
      <c r="C58" s="8"/>
      <c r="D58" s="8"/>
      <c r="E58" s="48">
        <f>E54-E46</f>
        <v>125</v>
      </c>
      <c r="F58" s="48">
        <f>F54-F46</f>
        <v>125</v>
      </c>
    </row>
    <row r="59" spans="2:6" ht="12.75">
      <c r="B59" s="25" t="s">
        <v>54</v>
      </c>
      <c r="C59" s="8"/>
      <c r="D59" s="8"/>
      <c r="E59" s="50">
        <f>E30</f>
        <v>43000</v>
      </c>
      <c r="F59" s="50">
        <f>F30</f>
        <v>43000</v>
      </c>
    </row>
    <row r="60" spans="2:6" ht="12.75">
      <c r="B60" s="25" t="s">
        <v>55</v>
      </c>
      <c r="C60" s="8"/>
      <c r="D60" s="8"/>
      <c r="E60" s="20">
        <f>IF(ISERROR(E59/E58),0,E59/E58)</f>
        <v>344</v>
      </c>
      <c r="F60" s="20">
        <f>IF(ISERROR(F59/F58),0,F59/F58)</f>
        <v>344</v>
      </c>
    </row>
    <row r="61" spans="2:6" ht="12.75">
      <c r="B61" s="25" t="s">
        <v>80</v>
      </c>
      <c r="C61" s="8"/>
      <c r="D61" s="8"/>
      <c r="E61" s="32">
        <f>IF(ISERROR(E58/E59),0,E58/E59)</f>
        <v>0.0029069767441860465</v>
      </c>
      <c r="F61" s="32">
        <f>IF(ISERROR(F58/F59),0,F58/F59)</f>
        <v>0.0029069767441860465</v>
      </c>
    </row>
    <row r="62" spans="2:6" ht="12.75">
      <c r="B62" s="25" t="s">
        <v>81</v>
      </c>
      <c r="C62" s="8"/>
      <c r="D62" s="8"/>
      <c r="E62" s="32">
        <f>IF(ISERROR(RATE($D$5,E58,-E59)),E61,RATE($D$5,E58,-E59))</f>
        <v>-0.11648062526668104</v>
      </c>
      <c r="F62" s="32">
        <f>IF(ISERROR(RATE($D$5,F58,-F59)),F61,RATE($D$5,F58,-F59))</f>
        <v>-0.11648062526668104</v>
      </c>
    </row>
    <row r="63" spans="2:6" ht="12.75">
      <c r="B63" s="25" t="s">
        <v>79</v>
      </c>
      <c r="C63" s="8"/>
      <c r="D63" s="8"/>
      <c r="E63" s="60">
        <f>ROUND(PV($D$4,$D$5,-E58)-E59,-3)</f>
        <v>-40000</v>
      </c>
      <c r="F63" s="60">
        <f>ROUND(PV($D$4,$D$5,-F58)-F59,-3)</f>
        <v>-40000</v>
      </c>
    </row>
    <row r="64" spans="3:6" ht="12.75">
      <c r="C64" s="8"/>
      <c r="D64" s="8"/>
      <c r="E64" s="52"/>
      <c r="F64" s="8"/>
    </row>
    <row r="65" spans="3:6" ht="12.75">
      <c r="C65" s="8"/>
      <c r="D65" s="8"/>
      <c r="E65" s="52"/>
      <c r="F65" s="8"/>
    </row>
    <row r="66" spans="1:6" ht="13.5" thickBot="1">
      <c r="A66" s="26" t="s">
        <v>70</v>
      </c>
      <c r="B66" s="27" t="s">
        <v>60</v>
      </c>
      <c r="C66" s="30"/>
      <c r="D66" s="30"/>
      <c r="E66" s="44" t="str">
        <f>E57</f>
        <v>DAY USE AREA</v>
      </c>
      <c r="F66" s="47" t="str">
        <f>F57</f>
        <v>TOTAL</v>
      </c>
    </row>
    <row r="67" spans="2:6" ht="12.75">
      <c r="B67" s="25" t="s">
        <v>74</v>
      </c>
      <c r="C67" s="8"/>
      <c r="D67" s="8"/>
      <c r="E67" s="48">
        <f>PMT($D$4,$D$5,-E30)+E46</f>
        <v>4112.493746875179</v>
      </c>
      <c r="F67" s="48">
        <f>PMT($D$4,$D$5,-F30)+F46</f>
        <v>4112.493746875179</v>
      </c>
    </row>
    <row r="68" spans="2:6" ht="12.75">
      <c r="B68" s="25" t="s">
        <v>73</v>
      </c>
      <c r="E68" s="53">
        <f>IF(ISERROR(E67/(E53*E52*E50)),0,E67/(E53*E52*E50))</f>
        <v>117.49982133929082</v>
      </c>
      <c r="F68" s="20"/>
    </row>
    <row r="69" spans="2:5" ht="12.75">
      <c r="B69" s="25" t="s">
        <v>71</v>
      </c>
      <c r="E69" s="31">
        <f>IF(ISERROR((E67+E46)/(E50*E51*E53)),0,E67/(E50*E51*E53))</f>
        <v>13.708312489583928</v>
      </c>
    </row>
    <row r="70" spans="2:5" ht="12.75">
      <c r="B70" s="25" t="s">
        <v>72</v>
      </c>
      <c r="E70" s="51">
        <f>IF(ISERROR(E67/(E52*E51*E50)),0,E67/(E52*E51*E50))</f>
        <v>1.958330355654847</v>
      </c>
    </row>
  </sheetData>
  <sheetProtection sheet="1" objects="1" scenarios="1" formatCells="0" formatColumns="0" formatRows="0" insertColumns="0" insertRows="0" insertHyperlinks="0" deleteColumns="0" deleteRows="0"/>
  <protectedRanges>
    <protectedRange sqref="A1:F2" name="Title"/>
    <protectedRange sqref="A6:F20" name="Breakdown by Facility"/>
    <protectedRange sqref="D22:D23 D25 D27:D28" name="Construction Percentages"/>
    <protectedRange sqref="D39 D45 E41:E44 E34:E37" name="Operating Costs"/>
    <protectedRange sqref="E50:E53" name="Revenue"/>
  </protectedRanges>
  <mergeCells count="3">
    <mergeCell ref="E5:F5"/>
    <mergeCell ref="A1:F1"/>
    <mergeCell ref="A2:F2"/>
  </mergeCells>
  <printOptions/>
  <pageMargins left="0.75" right="0.75" top="1" bottom="1" header="0.5" footer="0.5"/>
  <pageSetup firstPageNumber="22" useFirstPageNumber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 Regional Office</cp:lastModifiedBy>
  <cp:lastPrinted>2008-04-09T16:23:27Z</cp:lastPrinted>
  <dcterms:created xsi:type="dcterms:W3CDTF">2002-08-09T23:02:20Z</dcterms:created>
  <dcterms:modified xsi:type="dcterms:W3CDTF">2008-04-09T16:52:19Z</dcterms:modified>
  <cp:category/>
  <cp:version/>
  <cp:contentType/>
  <cp:contentStatus/>
</cp:coreProperties>
</file>